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C6B2A84-91E0-4A30-B5E0-3A10AA4E34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 RoP 2026-27" sheetId="1" r:id="rId1"/>
    <sheet name="Trng-Capacity Bldg." sheetId="2" r:id="rId2"/>
    <sheet name="ASHA Incentives" sheetId="3" r:id="rId3"/>
    <sheet name="IT Interventions" sheetId="4" r:id="rId4"/>
    <sheet name="IEC&amp; Printing" sheetId="5" r:id="rId5"/>
    <sheet name="Innovation" sheetId="6" r:id="rId6"/>
    <sheet name="PMC" sheetId="7" r:id="rId7"/>
  </sheets>
  <calcPr calcId="191029"/>
</workbook>
</file>

<file path=xl/calcChain.xml><?xml version="1.0" encoding="utf-8"?>
<calcChain xmlns="http://schemas.openxmlformats.org/spreadsheetml/2006/main">
  <c r="F20" i="3" l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5" i="1"/>
  <c r="U186" i="1"/>
  <c r="U187" i="1"/>
  <c r="U188" i="1"/>
  <c r="U189" i="1"/>
  <c r="U191" i="1"/>
  <c r="U193" i="1"/>
  <c r="U194" i="1"/>
  <c r="U195" i="1"/>
  <c r="U198" i="1"/>
  <c r="U199" i="1"/>
  <c r="U200" i="1"/>
  <c r="U206" i="1"/>
  <c r="U207" i="1"/>
  <c r="U212" i="1"/>
  <c r="U137" i="1"/>
  <c r="U138" i="1"/>
  <c r="U139" i="1"/>
  <c r="U141" i="1"/>
  <c r="U142" i="1"/>
  <c r="U143" i="1"/>
  <c r="U144" i="1"/>
  <c r="U147" i="1"/>
  <c r="U148" i="1"/>
  <c r="U149" i="1"/>
  <c r="U151" i="1"/>
  <c r="U153" i="1"/>
  <c r="U94" i="1"/>
  <c r="U95" i="1"/>
  <c r="U96" i="1"/>
  <c r="U97" i="1"/>
  <c r="U102" i="1"/>
  <c r="U103" i="1"/>
  <c r="U104" i="1"/>
  <c r="U105" i="1"/>
  <c r="U106" i="1"/>
  <c r="U107" i="1"/>
  <c r="U109" i="1"/>
  <c r="U110" i="1"/>
  <c r="U111" i="1"/>
  <c r="U112" i="1"/>
  <c r="U113" i="1"/>
  <c r="U114" i="1"/>
  <c r="U115" i="1"/>
  <c r="U117" i="1"/>
  <c r="U118" i="1"/>
  <c r="U120" i="1"/>
  <c r="U121" i="1"/>
  <c r="U122" i="1"/>
  <c r="U124" i="1"/>
  <c r="U125" i="1"/>
  <c r="U126" i="1"/>
  <c r="U127" i="1"/>
  <c r="U128" i="1"/>
  <c r="U129" i="1"/>
  <c r="U130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4" i="1"/>
  <c r="U85" i="1"/>
  <c r="U86" i="1"/>
  <c r="U87" i="1"/>
  <c r="U88" i="1"/>
  <c r="U89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20" i="1"/>
  <c r="U21" i="1"/>
  <c r="U22" i="1"/>
  <c r="U23" i="1"/>
  <c r="U24" i="1"/>
  <c r="U25" i="1"/>
  <c r="U26" i="1"/>
  <c r="U29" i="1"/>
  <c r="U30" i="1"/>
  <c r="U31" i="1"/>
  <c r="U32" i="1"/>
  <c r="U33" i="1"/>
  <c r="U35" i="1"/>
  <c r="U36" i="1"/>
  <c r="U37" i="1"/>
  <c r="U38" i="1"/>
  <c r="U39" i="1"/>
  <c r="U40" i="1"/>
  <c r="U41" i="1"/>
  <c r="U42" i="1"/>
  <c r="U43" i="1"/>
  <c r="U45" i="1"/>
  <c r="U46" i="1"/>
  <c r="U47" i="1"/>
  <c r="U48" i="1"/>
  <c r="U49" i="1"/>
  <c r="U50" i="1"/>
  <c r="U51" i="1"/>
  <c r="U52" i="1"/>
  <c r="U53" i="1"/>
  <c r="U57" i="1"/>
  <c r="U58" i="1"/>
  <c r="U59" i="1"/>
  <c r="U60" i="1"/>
  <c r="U62" i="1"/>
  <c r="U63" i="1"/>
  <c r="U65" i="1"/>
  <c r="S26" i="5" l="1"/>
  <c r="F26" i="5"/>
  <c r="T19" i="5"/>
  <c r="S13" i="4" l="1"/>
  <c r="F13" i="4"/>
  <c r="S19" i="7"/>
  <c r="S20" i="7"/>
  <c r="S12" i="4" l="1"/>
  <c r="F12" i="4"/>
  <c r="T11" i="4"/>
  <c r="T12" i="4"/>
  <c r="T13" i="4"/>
  <c r="T14" i="4"/>
  <c r="T15" i="4"/>
  <c r="T16" i="4"/>
  <c r="T17" i="4"/>
  <c r="T18" i="4"/>
  <c r="S11" i="4"/>
  <c r="F11" i="4"/>
  <c r="S27" i="5"/>
  <c r="F27" i="5"/>
  <c r="T25" i="5" l="1"/>
  <c r="T24" i="5"/>
  <c r="T26" i="5"/>
  <c r="T27" i="5"/>
  <c r="T28" i="5"/>
  <c r="T29" i="5"/>
  <c r="T14" i="3"/>
  <c r="T15" i="3"/>
  <c r="T16" i="3"/>
  <c r="T17" i="3"/>
  <c r="T18" i="3"/>
  <c r="T19" i="3"/>
  <c r="T13" i="3"/>
  <c r="M31" i="2"/>
  <c r="T29" i="2"/>
  <c r="T30" i="2"/>
  <c r="S28" i="2" l="1"/>
  <c r="F28" i="2"/>
  <c r="F31" i="2" s="1"/>
  <c r="T26" i="2"/>
  <c r="T27" i="2"/>
  <c r="T28" i="2"/>
  <c r="T23" i="5"/>
  <c r="T25" i="2"/>
  <c r="S213" i="1" l="1"/>
  <c r="G20" i="6"/>
  <c r="H213" i="1" s="1"/>
  <c r="H20" i="6"/>
  <c r="I213" i="1" s="1"/>
  <c r="I20" i="6"/>
  <c r="J213" i="1" s="1"/>
  <c r="J20" i="6"/>
  <c r="K213" i="1" s="1"/>
  <c r="K20" i="6"/>
  <c r="L213" i="1" s="1"/>
  <c r="L20" i="6"/>
  <c r="M213" i="1" s="1"/>
  <c r="M20" i="6"/>
  <c r="N213" i="1" s="1"/>
  <c r="N20" i="6"/>
  <c r="O213" i="1" s="1"/>
  <c r="O20" i="6"/>
  <c r="P213" i="1" s="1"/>
  <c r="P20" i="6"/>
  <c r="Q213" i="1" s="1"/>
  <c r="Q20" i="6"/>
  <c r="R213" i="1" s="1"/>
  <c r="R20" i="6"/>
  <c r="S20" i="6"/>
  <c r="T213" i="1" s="1"/>
  <c r="F20" i="6"/>
  <c r="F30" i="5"/>
  <c r="G19" i="4"/>
  <c r="H210" i="1" s="1"/>
  <c r="H19" i="4"/>
  <c r="I210" i="1" s="1"/>
  <c r="I19" i="4"/>
  <c r="J210" i="1" s="1"/>
  <c r="J19" i="4"/>
  <c r="K210" i="1" s="1"/>
  <c r="K19" i="4"/>
  <c r="L210" i="1" s="1"/>
  <c r="L19" i="4"/>
  <c r="M210" i="1" s="1"/>
  <c r="M19" i="4"/>
  <c r="N210" i="1" s="1"/>
  <c r="N19" i="4"/>
  <c r="O210" i="1" s="1"/>
  <c r="O19" i="4"/>
  <c r="P210" i="1" s="1"/>
  <c r="P19" i="4"/>
  <c r="Q210" i="1" s="1"/>
  <c r="Q19" i="4"/>
  <c r="R210" i="1" s="1"/>
  <c r="R19" i="4"/>
  <c r="S210" i="1" s="1"/>
  <c r="S19" i="4"/>
  <c r="T210" i="1" s="1"/>
  <c r="F19" i="4"/>
  <c r="S20" i="3"/>
  <c r="T209" i="1" s="1"/>
  <c r="N208" i="1"/>
  <c r="E21" i="7"/>
  <c r="U210" i="1" l="1"/>
  <c r="U213" i="1"/>
  <c r="S6" i="7"/>
  <c r="S7" i="7"/>
  <c r="S8" i="7"/>
  <c r="S9" i="7"/>
  <c r="S10" i="7"/>
  <c r="S12" i="7"/>
  <c r="S13" i="7"/>
  <c r="S15" i="7"/>
  <c r="S17" i="7"/>
  <c r="S18" i="7"/>
  <c r="S5" i="7"/>
  <c r="T6" i="6"/>
  <c r="T7" i="6"/>
  <c r="T8" i="6"/>
  <c r="T9" i="6"/>
  <c r="T6" i="5"/>
  <c r="T8" i="5"/>
  <c r="T9" i="5"/>
  <c r="T10" i="5"/>
  <c r="T11" i="5"/>
  <c r="T12" i="5"/>
  <c r="T15" i="5"/>
  <c r="T16" i="5"/>
  <c r="T17" i="5"/>
  <c r="T18" i="5"/>
  <c r="T21" i="5"/>
  <c r="T5" i="5"/>
  <c r="T5" i="6"/>
  <c r="T8" i="4"/>
  <c r="T9" i="4"/>
  <c r="T10" i="4"/>
  <c r="T20" i="6" l="1"/>
  <c r="T6" i="4" l="1"/>
  <c r="T7" i="4"/>
  <c r="T5" i="4"/>
  <c r="T19" i="4" s="1"/>
  <c r="T12" i="3" l="1"/>
  <c r="T7" i="3" l="1"/>
  <c r="T8" i="3"/>
  <c r="T9" i="3"/>
  <c r="T10" i="3"/>
  <c r="T11" i="3"/>
  <c r="T5" i="3"/>
  <c r="T7" i="2"/>
  <c r="T8" i="2"/>
  <c r="T10" i="2"/>
  <c r="T11" i="2"/>
  <c r="T12" i="2"/>
  <c r="T13" i="2"/>
  <c r="T14" i="2"/>
  <c r="T15" i="2"/>
  <c r="T16" i="2"/>
  <c r="T17" i="2"/>
  <c r="T18" i="2"/>
  <c r="T19" i="2"/>
  <c r="T20" i="2"/>
  <c r="T23" i="2"/>
  <c r="T24" i="2"/>
  <c r="T6" i="2"/>
  <c r="S22" i="5" l="1"/>
  <c r="T22" i="5" s="1"/>
  <c r="T196" i="1" l="1"/>
  <c r="U196" i="1" s="1"/>
  <c r="T192" i="1"/>
  <c r="U192" i="1" s="1"/>
  <c r="T22" i="2" l="1"/>
  <c r="S16" i="7"/>
  <c r="R20" i="5" l="1"/>
  <c r="Q20" i="5"/>
  <c r="P20" i="5"/>
  <c r="L20" i="5"/>
  <c r="K20" i="5"/>
  <c r="I20" i="5"/>
  <c r="G20" i="5"/>
  <c r="R21" i="2"/>
  <c r="Q21" i="2"/>
  <c r="P21" i="2"/>
  <c r="L21" i="2"/>
  <c r="K21" i="2"/>
  <c r="I21" i="2"/>
  <c r="G21" i="2"/>
  <c r="S155" i="1"/>
  <c r="R155" i="1"/>
  <c r="Q155" i="1"/>
  <c r="M155" i="1"/>
  <c r="L155" i="1"/>
  <c r="J155" i="1"/>
  <c r="H155" i="1"/>
  <c r="S152" i="1"/>
  <c r="R152" i="1"/>
  <c r="Q152" i="1"/>
  <c r="M152" i="1"/>
  <c r="L152" i="1"/>
  <c r="J152" i="1"/>
  <c r="H152" i="1"/>
  <c r="S150" i="1"/>
  <c r="R150" i="1"/>
  <c r="Q150" i="1"/>
  <c r="M150" i="1"/>
  <c r="L150" i="1"/>
  <c r="J150" i="1"/>
  <c r="H150" i="1"/>
  <c r="S146" i="1"/>
  <c r="R146" i="1"/>
  <c r="Q146" i="1"/>
  <c r="M146" i="1"/>
  <c r="L146" i="1"/>
  <c r="J146" i="1"/>
  <c r="H146" i="1"/>
  <c r="R145" i="1"/>
  <c r="Q145" i="1"/>
  <c r="M145" i="1"/>
  <c r="L145" i="1"/>
  <c r="J145" i="1"/>
  <c r="H145" i="1"/>
  <c r="S140" i="1"/>
  <c r="R140" i="1"/>
  <c r="Q140" i="1"/>
  <c r="M140" i="1"/>
  <c r="L140" i="1"/>
  <c r="J140" i="1"/>
  <c r="H140" i="1"/>
  <c r="M136" i="1"/>
  <c r="J136" i="1"/>
  <c r="H136" i="1"/>
  <c r="J135" i="1"/>
  <c r="H135" i="1"/>
  <c r="J134" i="1"/>
  <c r="H134" i="1"/>
  <c r="J133" i="1"/>
  <c r="T20" i="5" l="1"/>
  <c r="U134" i="1"/>
  <c r="U136" i="1"/>
  <c r="U146" i="1"/>
  <c r="T21" i="2"/>
  <c r="U155" i="1"/>
  <c r="U140" i="1"/>
  <c r="U150" i="1"/>
  <c r="U135" i="1"/>
  <c r="U145" i="1"/>
  <c r="U152" i="1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T119" i="1"/>
  <c r="R119" i="1"/>
  <c r="O119" i="1"/>
  <c r="S14" i="7" l="1"/>
  <c r="U119" i="1"/>
  <c r="T101" i="1"/>
  <c r="U101" i="1" s="1"/>
  <c r="T100" i="1"/>
  <c r="U100" i="1" s="1"/>
  <c r="T99" i="1"/>
  <c r="U99" i="1" s="1"/>
  <c r="T98" i="1"/>
  <c r="U98" i="1" s="1"/>
  <c r="T93" i="1"/>
  <c r="U93" i="1" s="1"/>
  <c r="T92" i="1"/>
  <c r="S14" i="5" l="1"/>
  <c r="R14" i="5"/>
  <c r="Q14" i="5"/>
  <c r="P14" i="5"/>
  <c r="O14" i="5"/>
  <c r="N14" i="5"/>
  <c r="M14" i="5"/>
  <c r="L14" i="5"/>
  <c r="K14" i="5"/>
  <c r="J14" i="5"/>
  <c r="I14" i="5"/>
  <c r="H14" i="5"/>
  <c r="G14" i="5"/>
  <c r="T14" i="5" l="1"/>
  <c r="S13" i="5"/>
  <c r="R13" i="5"/>
  <c r="R30" i="5" s="1"/>
  <c r="S211" i="1" s="1"/>
  <c r="Q13" i="5"/>
  <c r="Q30" i="5" s="1"/>
  <c r="R211" i="1" s="1"/>
  <c r="P13" i="5"/>
  <c r="P30" i="5" s="1"/>
  <c r="Q211" i="1" s="1"/>
  <c r="O13" i="5"/>
  <c r="O30" i="5" s="1"/>
  <c r="P211" i="1" s="1"/>
  <c r="N13" i="5"/>
  <c r="N30" i="5" s="1"/>
  <c r="O211" i="1" s="1"/>
  <c r="M13" i="5"/>
  <c r="M30" i="5" s="1"/>
  <c r="N211" i="1" s="1"/>
  <c r="L13" i="5"/>
  <c r="L30" i="5" s="1"/>
  <c r="M211" i="1" s="1"/>
  <c r="K13" i="5"/>
  <c r="K30" i="5" s="1"/>
  <c r="L211" i="1" s="1"/>
  <c r="J13" i="5"/>
  <c r="J30" i="5" s="1"/>
  <c r="K211" i="1" s="1"/>
  <c r="I13" i="5"/>
  <c r="I30" i="5" s="1"/>
  <c r="J211" i="1" s="1"/>
  <c r="H13" i="5"/>
  <c r="H30" i="5" s="1"/>
  <c r="I211" i="1" s="1"/>
  <c r="G13" i="5"/>
  <c r="R11" i="7"/>
  <c r="R21" i="7" s="1"/>
  <c r="T201" i="1" s="1"/>
  <c r="Q11" i="7"/>
  <c r="Q21" i="7" s="1"/>
  <c r="S201" i="1" s="1"/>
  <c r="P11" i="7"/>
  <c r="P21" i="7" s="1"/>
  <c r="R201" i="1" s="1"/>
  <c r="O11" i="7"/>
  <c r="O21" i="7" s="1"/>
  <c r="Q201" i="1" s="1"/>
  <c r="N11" i="7"/>
  <c r="N21" i="7" s="1"/>
  <c r="P201" i="1" s="1"/>
  <c r="M11" i="7"/>
  <c r="M21" i="7" s="1"/>
  <c r="O201" i="1" s="1"/>
  <c r="L11" i="7"/>
  <c r="L21" i="7" s="1"/>
  <c r="N201" i="1" s="1"/>
  <c r="K11" i="7"/>
  <c r="K21" i="7" s="1"/>
  <c r="M201" i="1" s="1"/>
  <c r="J11" i="7"/>
  <c r="J21" i="7" s="1"/>
  <c r="L201" i="1" s="1"/>
  <c r="I11" i="7"/>
  <c r="I21" i="7" s="1"/>
  <c r="K201" i="1" s="1"/>
  <c r="H11" i="7"/>
  <c r="H21" i="7" s="1"/>
  <c r="J201" i="1" s="1"/>
  <c r="G11" i="7"/>
  <c r="G21" i="7" s="1"/>
  <c r="I201" i="1" s="1"/>
  <c r="F11" i="7"/>
  <c r="F21" i="7" l="1"/>
  <c r="H201" i="1" s="1"/>
  <c r="U201" i="1" s="1"/>
  <c r="S11" i="7"/>
  <c r="S21" i="7" s="1"/>
  <c r="G30" i="5"/>
  <c r="H211" i="1" s="1"/>
  <c r="T13" i="5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S7" i="5" l="1"/>
  <c r="R6" i="3"/>
  <c r="R20" i="3" s="1"/>
  <c r="S209" i="1" s="1"/>
  <c r="Q6" i="3"/>
  <c r="Q20" i="3" s="1"/>
  <c r="R209" i="1" s="1"/>
  <c r="P6" i="3"/>
  <c r="P20" i="3" s="1"/>
  <c r="Q209" i="1" s="1"/>
  <c r="O6" i="3"/>
  <c r="O20" i="3" s="1"/>
  <c r="P209" i="1" s="1"/>
  <c r="N6" i="3"/>
  <c r="N20" i="3" s="1"/>
  <c r="O209" i="1" s="1"/>
  <c r="M6" i="3"/>
  <c r="M20" i="3" s="1"/>
  <c r="N209" i="1" s="1"/>
  <c r="L6" i="3"/>
  <c r="L20" i="3" s="1"/>
  <c r="M209" i="1" s="1"/>
  <c r="K6" i="3"/>
  <c r="K20" i="3" s="1"/>
  <c r="L209" i="1" s="1"/>
  <c r="J6" i="3"/>
  <c r="J20" i="3" s="1"/>
  <c r="K209" i="1" s="1"/>
  <c r="I6" i="3"/>
  <c r="I20" i="3" s="1"/>
  <c r="J209" i="1" s="1"/>
  <c r="H6" i="3"/>
  <c r="H20" i="3" s="1"/>
  <c r="I209" i="1" s="1"/>
  <c r="G6" i="3"/>
  <c r="S9" i="2"/>
  <c r="S31" i="2" s="1"/>
  <c r="T208" i="1" s="1"/>
  <c r="R9" i="2"/>
  <c r="R31" i="2" s="1"/>
  <c r="S208" i="1" s="1"/>
  <c r="Q9" i="2"/>
  <c r="Q31" i="2" s="1"/>
  <c r="R208" i="1" s="1"/>
  <c r="P9" i="2"/>
  <c r="P31" i="2" s="1"/>
  <c r="Q208" i="1" s="1"/>
  <c r="O9" i="2"/>
  <c r="O31" i="2" s="1"/>
  <c r="P208" i="1" s="1"/>
  <c r="N9" i="2"/>
  <c r="N31" i="2" s="1"/>
  <c r="O208" i="1" s="1"/>
  <c r="L9" i="2"/>
  <c r="L31" i="2" s="1"/>
  <c r="M208" i="1" s="1"/>
  <c r="K9" i="2"/>
  <c r="K31" i="2" s="1"/>
  <c r="L208" i="1" s="1"/>
  <c r="J9" i="2"/>
  <c r="J31" i="2" s="1"/>
  <c r="K208" i="1" s="1"/>
  <c r="I9" i="2"/>
  <c r="I31" i="2" s="1"/>
  <c r="J208" i="1" s="1"/>
  <c r="H9" i="2"/>
  <c r="H31" i="2" s="1"/>
  <c r="I208" i="1" s="1"/>
  <c r="G9" i="2"/>
  <c r="T61" i="1"/>
  <c r="U61" i="1" s="1"/>
  <c r="T56" i="1"/>
  <c r="U56" i="1" s="1"/>
  <c r="T55" i="1"/>
  <c r="U55" i="1" s="1"/>
  <c r="T28" i="1"/>
  <c r="U28" i="1" s="1"/>
  <c r="R27" i="1"/>
  <c r="Q27" i="1"/>
  <c r="P27" i="1"/>
  <c r="O27" i="1"/>
  <c r="L27" i="1"/>
  <c r="K27" i="1"/>
  <c r="J27" i="1"/>
  <c r="I27" i="1"/>
  <c r="H27" i="1"/>
  <c r="U27" i="1" l="1"/>
  <c r="G31" i="2"/>
  <c r="H208" i="1" s="1"/>
  <c r="U208" i="1" s="1"/>
  <c r="T9" i="2"/>
  <c r="T31" i="2" s="1"/>
  <c r="G20" i="3"/>
  <c r="H209" i="1" s="1"/>
  <c r="U209" i="1" s="1"/>
  <c r="T6" i="3"/>
  <c r="T20" i="3" s="1"/>
  <c r="S30" i="5"/>
  <c r="T211" i="1" s="1"/>
  <c r="U211" i="1" s="1"/>
  <c r="T7" i="5"/>
  <c r="T30" i="5" s="1"/>
  <c r="S4" i="7"/>
  <c r="T4" i="6" l="1"/>
  <c r="T4" i="4"/>
  <c r="T4" i="3"/>
  <c r="T5" i="2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G214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G156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G132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G91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 l="1"/>
  <c r="U91" i="1"/>
  <c r="U132" i="1"/>
  <c r="U156" i="1"/>
  <c r="U214" i="1"/>
  <c r="T215" i="1"/>
  <c r="R215" i="1"/>
  <c r="N215" i="1"/>
  <c r="J215" i="1"/>
  <c r="S215" i="1"/>
  <c r="O215" i="1"/>
  <c r="K215" i="1"/>
  <c r="P215" i="1"/>
  <c r="L215" i="1"/>
  <c r="H215" i="1"/>
  <c r="Q215" i="1"/>
  <c r="M215" i="1"/>
  <c r="I215" i="1"/>
  <c r="U4" i="1"/>
  <c r="G66" i="1"/>
  <c r="G215" i="1" s="1"/>
  <c r="U67" i="1"/>
  <c r="U92" i="1"/>
  <c r="U133" i="1"/>
  <c r="U157" i="1"/>
  <c r="U215" i="1" l="1"/>
</calcChain>
</file>

<file path=xl/sharedStrings.xml><?xml version="1.0" encoding="utf-8"?>
<sst xmlns="http://schemas.openxmlformats.org/spreadsheetml/2006/main" count="601" uniqueCount="368">
  <si>
    <t>Pool</t>
  </si>
  <si>
    <t>FMR Code</t>
  </si>
  <si>
    <t>Programme/ Theme</t>
  </si>
  <si>
    <t>S.No.</t>
  </si>
  <si>
    <t>Scheme/ Activity</t>
  </si>
  <si>
    <t>RCH Flexible Pool (including RI, IPPI, NIDDCP)</t>
  </si>
  <si>
    <t>RCH.1</t>
  </si>
  <si>
    <t>Maternal Health</t>
  </si>
  <si>
    <t>Village Health Sanitation &amp; Nutrition Days (VHSNDs)</t>
  </si>
  <si>
    <t>Pregnancy Registration and Ante-Natal Checkups</t>
  </si>
  <si>
    <t>Janani Suraksha Yojana (JSY)</t>
  </si>
  <si>
    <t>Janani Shishu Suraksha Karyakram (JSSK) (excluding transport)</t>
  </si>
  <si>
    <t>Janani Shishu Suraksha Karyakram (JSSK) - Transport</t>
  </si>
  <si>
    <t>Pradhan Mantri Surakshit Matritva Abhiyan (PMSMA)</t>
  </si>
  <si>
    <t>Surakshit Matritva Aashwasan (SUMAN)</t>
  </si>
  <si>
    <t>Midwifery</t>
  </si>
  <si>
    <t>Maternal Death Review</t>
  </si>
  <si>
    <t>Comprehensive Abortion Care</t>
  </si>
  <si>
    <t>MCH Wings</t>
  </si>
  <si>
    <t>FRUs</t>
  </si>
  <si>
    <t>HDU/ICU - Maternal Health</t>
  </si>
  <si>
    <t>Labour Rooms (LDR + NBCCs)</t>
  </si>
  <si>
    <t>LaQshya</t>
  </si>
  <si>
    <t>Implementation of RCH Portal/ANMOL/MCTS</t>
  </si>
  <si>
    <t>Other MH Components</t>
  </si>
  <si>
    <t>State specific Initiatives and Innovations</t>
  </si>
  <si>
    <t>RCH.2</t>
  </si>
  <si>
    <t>PC &amp; PNDT Act</t>
  </si>
  <si>
    <t>Gender Based Violence &amp; Medico Legal Care For Survivors Victims of Sexual Violence</t>
  </si>
  <si>
    <t>RCH.3</t>
  </si>
  <si>
    <t>Child Health</t>
  </si>
  <si>
    <t>Rashtriya Bal Swasthya Karyakram (RBSK)</t>
  </si>
  <si>
    <t>RBSK at Facility Level including District Early Intervention Centers (DEIC)</t>
  </si>
  <si>
    <t>Community Based  Care - HBNC &amp; HBYC</t>
  </si>
  <si>
    <t>Facility Based New born Care</t>
  </si>
  <si>
    <t>Child Death Review</t>
  </si>
  <si>
    <t>SAANS</t>
  </si>
  <si>
    <t xml:space="preserve">Paediatric Care </t>
  </si>
  <si>
    <t>Other Child Health Components</t>
  </si>
  <si>
    <t>RCH.4</t>
  </si>
  <si>
    <t>Immunization</t>
  </si>
  <si>
    <t>Immunization including Mission Indradhanush</t>
  </si>
  <si>
    <t>Pulse Polio Campaign</t>
  </si>
  <si>
    <t>eVIN Operational Cost</t>
  </si>
  <si>
    <t>RCH.5</t>
  </si>
  <si>
    <t>Adolescent Health</t>
  </si>
  <si>
    <t>Adolescent Friendly Health Centers (AFHCs)</t>
  </si>
  <si>
    <t>Weekly Iron Folic Acid Supplementation (WIFS)</t>
  </si>
  <si>
    <t>Menstrual Hygiene Scheme (MHS)</t>
  </si>
  <si>
    <t>Peer Education Programme</t>
  </si>
  <si>
    <t>School Health And Wellness Program under Ayushman Bharat</t>
  </si>
  <si>
    <t>Other Adolescent Health Components</t>
  </si>
  <si>
    <t>RCH.6</t>
  </si>
  <si>
    <t>Family Planning</t>
  </si>
  <si>
    <t>Sterilization - Female</t>
  </si>
  <si>
    <t>Sterilization - Male</t>
  </si>
  <si>
    <t>IUCD Insertion (PPIUCD and PAIUCD)</t>
  </si>
  <si>
    <t>ANTARA</t>
  </si>
  <si>
    <t>MPV (Mission Parivar Vikas)</t>
  </si>
  <si>
    <t>Family Planning Indemnity Scheme</t>
  </si>
  <si>
    <t>FPLMIS</t>
  </si>
  <si>
    <t>World Population Day and Vasectomy Fortnight</t>
  </si>
  <si>
    <t>Other Family Planning Components</t>
  </si>
  <si>
    <t>RCH.7</t>
  </si>
  <si>
    <t>Nutrition</t>
  </si>
  <si>
    <t>Anaemia Mukt Bharat</t>
  </si>
  <si>
    <t>National Deworming Day</t>
  </si>
  <si>
    <t>Nutritional Rehabilitation Centers (NRC)</t>
  </si>
  <si>
    <t>Vitamin A Supplementation</t>
  </si>
  <si>
    <t>Mother's Absolute Affection (MAA)</t>
  </si>
  <si>
    <t>Lactation Management Centers</t>
  </si>
  <si>
    <t>Intensified Diarrhoea Control Fortnight</t>
  </si>
  <si>
    <t>Eat Right Campaign</t>
  </si>
  <si>
    <t>Other Nutrition Components</t>
  </si>
  <si>
    <t>RCH.8</t>
  </si>
  <si>
    <t>National Iodine Deficiency Disorders Control Programme (NIDDCP)</t>
  </si>
  <si>
    <t>Implementation of NIDDCP</t>
  </si>
  <si>
    <t>RCH Sub Total</t>
  </si>
  <si>
    <t>NDCP Flexi Pool</t>
  </si>
  <si>
    <t>NDCP.1</t>
  </si>
  <si>
    <t>Integrated Disease Surveillance Programme (IDSP)</t>
  </si>
  <si>
    <t>Implementation of IDSP</t>
  </si>
  <si>
    <t>NDCP.2</t>
  </si>
  <si>
    <t>National Vector Borne Disease Control Programme (NVBDCP)</t>
  </si>
  <si>
    <t>Malaria</t>
  </si>
  <si>
    <t>Kala-azar</t>
  </si>
  <si>
    <t>AES/JE</t>
  </si>
  <si>
    <t>Dengue &amp; Chikungunya</t>
  </si>
  <si>
    <t>Lymphatic Filariasis</t>
  </si>
  <si>
    <t>NDCP.3</t>
  </si>
  <si>
    <t>National Leprosy Eradication Programme (NLEP)</t>
  </si>
  <si>
    <t>Case Detection and Management</t>
  </si>
  <si>
    <t>DPMR Services: Reconstructive Surgeries</t>
  </si>
  <si>
    <t>District Awards</t>
  </si>
  <si>
    <t>Other NLEP Components</t>
  </si>
  <si>
    <t>NDCP.4</t>
  </si>
  <si>
    <t>National Tuberculosis Elimination Programme (NTEP)</t>
  </si>
  <si>
    <t>Drug Sensitive TB (DSTB)</t>
  </si>
  <si>
    <t>Nikshay Poshan Yojana</t>
  </si>
  <si>
    <t>PPP</t>
  </si>
  <si>
    <t>Latent TB Infection (LTBI)</t>
  </si>
  <si>
    <t>Drug Resistant TB(DRTB)</t>
  </si>
  <si>
    <t>TB Harega Desh Jeetega Campaign</t>
  </si>
  <si>
    <t>NDCP.5</t>
  </si>
  <si>
    <t>National Viral Hepatitis Control Programme (NVHCP)</t>
  </si>
  <si>
    <t>Prevention</t>
  </si>
  <si>
    <t>Screening and Testing through Facilities</t>
  </si>
  <si>
    <t>Screening and Testing through Outreach Activities</t>
  </si>
  <si>
    <t>Treatment</t>
  </si>
  <si>
    <t>NDCP.6</t>
  </si>
  <si>
    <t>National Rabies Control Programme (NRCP)</t>
  </si>
  <si>
    <t>Implementation of NRCP</t>
  </si>
  <si>
    <t>NDCP.7</t>
  </si>
  <si>
    <t>Programme for Prevention and Control of Leptospirosis (PPCL)</t>
  </si>
  <si>
    <t>Implementation of PPCL</t>
  </si>
  <si>
    <t>NDCP.9</t>
  </si>
  <si>
    <t>Implementation of State specific Initiatives and Innovations</t>
  </si>
  <si>
    <t>NDCP Sub Total</t>
  </si>
  <si>
    <t>NCD Flexi Pool</t>
  </si>
  <si>
    <t>NCD.1</t>
  </si>
  <si>
    <t>National Program for Control of Blindness and Vision Impairment (NPCB+VI)</t>
  </si>
  <si>
    <t>Cataract Surgeries through Facilities</t>
  </si>
  <si>
    <t>Cataract Surgeries through NGOs</t>
  </si>
  <si>
    <t>Other Ophthalmic Interventions through Facilities</t>
  </si>
  <si>
    <t>Other Ophthalmic Interventions through NGOs</t>
  </si>
  <si>
    <t>Mobile Ophthalmic Units</t>
  </si>
  <si>
    <t>Collection of Eye Balls by Eye Banks and Eye Donation Centres</t>
  </si>
  <si>
    <t>Free Spectacles to School Children</t>
  </si>
  <si>
    <t>Free spectacles to Others</t>
  </si>
  <si>
    <t>Grant in Aid for the Health Institutions, Eye Bank, NGO, Private Practioners</t>
  </si>
  <si>
    <t>Other NPCB+VI components</t>
  </si>
  <si>
    <t>NCD.2</t>
  </si>
  <si>
    <t>National Mental Health Program (NMHP)</t>
  </si>
  <si>
    <t>Implementation of District Mental Health Plan</t>
  </si>
  <si>
    <t>Implementation of TeleMANAS</t>
  </si>
  <si>
    <t>NCD.3</t>
  </si>
  <si>
    <t>National Programme for Health Care for the Elderly (NPHCE)</t>
  </si>
  <si>
    <t>Geriatric Care at DH</t>
  </si>
  <si>
    <t>Geriatric Care at CHC/SDH</t>
  </si>
  <si>
    <t>Geriatric Care at PHC/ SHC</t>
  </si>
  <si>
    <t xml:space="preserve">Community Based Intervention </t>
  </si>
  <si>
    <t>NCD.4</t>
  </si>
  <si>
    <t>National Tobacco Control Programme (NTCP)</t>
  </si>
  <si>
    <t xml:space="preserve">Implementation of COTPA - 2003 </t>
  </si>
  <si>
    <t xml:space="preserve">Implementation of ToEFI Guideline </t>
  </si>
  <si>
    <t>Tobacco Cessation</t>
  </si>
  <si>
    <t>NCD.5</t>
  </si>
  <si>
    <t xml:space="preserve">National Programme for Prevention and Control of Non Communicable Diseases (NP-NCD) </t>
  </si>
  <si>
    <t>NCD Clinics at DH</t>
  </si>
  <si>
    <t>NCD Clinics at CHC/SDH</t>
  </si>
  <si>
    <t>Cardiac Care Unit (CCU/ICU) including STEMI</t>
  </si>
  <si>
    <t>Other NP-NCD Components</t>
  </si>
  <si>
    <t>NCD.6</t>
  </si>
  <si>
    <t>Pradhan Mantri National Dialysis Programme (PMNDP)</t>
  </si>
  <si>
    <t>Haemodialysis Services</t>
  </si>
  <si>
    <t>Peritoneal Dialysis Services</t>
  </si>
  <si>
    <t>NCD.7</t>
  </si>
  <si>
    <t>National Program for Climate Change and Human Health (NPCCHH)</t>
  </si>
  <si>
    <t>Implementation of NPCCHH</t>
  </si>
  <si>
    <t>NCD.8</t>
  </si>
  <si>
    <t>National Oral health programme (NOHP)</t>
  </si>
  <si>
    <t>Implementation at DH</t>
  </si>
  <si>
    <t>Implementation at CHC/SDH</t>
  </si>
  <si>
    <t>Mobile Dental Units/Van</t>
  </si>
  <si>
    <t>NCD.9</t>
  </si>
  <si>
    <t>National Programme on palliative care (NPPC)</t>
  </si>
  <si>
    <t>Implementation of NPPC</t>
  </si>
  <si>
    <t>NCD.10</t>
  </si>
  <si>
    <t>National Programme for Prevention and Control of Fluorosis (NPPCF)</t>
  </si>
  <si>
    <t>Implementation of NPPCF</t>
  </si>
  <si>
    <t>NCD.11</t>
  </si>
  <si>
    <t>National Programme for Prevention and Control of Deafness (NPPCD)</t>
  </si>
  <si>
    <t>Screening of Deafness</t>
  </si>
  <si>
    <t>Management of Deafness</t>
  </si>
  <si>
    <t>State Specific Initiatives</t>
  </si>
  <si>
    <t>NCD.12</t>
  </si>
  <si>
    <t>National programme for Prevention and Management of Burn &amp; Injuries</t>
  </si>
  <si>
    <t>Support for Burn Units</t>
  </si>
  <si>
    <t>Support for Emergency Trauma Care</t>
  </si>
  <si>
    <t>NCD.13</t>
  </si>
  <si>
    <t>State specific Programme Interventions</t>
  </si>
  <si>
    <t>NCD Sub Total</t>
  </si>
  <si>
    <t>Health System Strengthening (HSS) - Urban</t>
  </si>
  <si>
    <t>HSS(U).1</t>
  </si>
  <si>
    <t>Comprehensive Primary Healthcare (CPHC)</t>
  </si>
  <si>
    <t>Operationalisation of Ayushman Arogya Mandirs(AAM) - Urban</t>
  </si>
  <si>
    <t>Wellness Activities at AAMs- Urban</t>
  </si>
  <si>
    <t>Teleconsultation Facilities at AAMs-Urban</t>
  </si>
  <si>
    <t>HSS(U).2</t>
  </si>
  <si>
    <t>Community Engagement</t>
  </si>
  <si>
    <t>ASHA (including ASHA Certification and ASHA benefit package)</t>
  </si>
  <si>
    <t>MAS</t>
  </si>
  <si>
    <t>JAS</t>
  </si>
  <si>
    <t>RKS</t>
  </si>
  <si>
    <t>Outreach Activities</t>
  </si>
  <si>
    <t>Mapping of Slums and Vulnerable Population</t>
  </si>
  <si>
    <t>Other Community Engagement Components</t>
  </si>
  <si>
    <t>HSS(U).3</t>
  </si>
  <si>
    <t>Public Health Institutions as per IPHS norms</t>
  </si>
  <si>
    <t>Urban PHCs/ Polyclinics</t>
  </si>
  <si>
    <t>Urban CHCs and Maternity Homes</t>
  </si>
  <si>
    <t>HSS(U).4</t>
  </si>
  <si>
    <t>Quality Assurance</t>
  </si>
  <si>
    <t>Quality Assurance Implementation &amp; Mera Aspataal</t>
  </si>
  <si>
    <t>Kayakalp</t>
  </si>
  <si>
    <t>Swacch Swasth Sarvatra</t>
  </si>
  <si>
    <t>HSS(U).5</t>
  </si>
  <si>
    <t>HRH</t>
  </si>
  <si>
    <t>Remuneration for all NHM HR</t>
  </si>
  <si>
    <t>Incentives (Allowance, Incentives, Staff Welfare Fund)</t>
  </si>
  <si>
    <t>Incentives under CPHC</t>
  </si>
  <si>
    <t>Costs for HR Recruitment and Outsourcing</t>
  </si>
  <si>
    <t>HSS(U).6</t>
  </si>
  <si>
    <t>Technical Assistance</t>
  </si>
  <si>
    <t>Planning and Program Management*</t>
  </si>
  <si>
    <t>HSS(U).7</t>
  </si>
  <si>
    <t>Access</t>
  </si>
  <si>
    <t>HSS(U).8</t>
  </si>
  <si>
    <t>Innovation</t>
  </si>
  <si>
    <t>State specific Programme Innovations and Interventions</t>
  </si>
  <si>
    <t>HSS(U).9</t>
  </si>
  <si>
    <t>Untied Grants</t>
  </si>
  <si>
    <t>Untied Fund</t>
  </si>
  <si>
    <t>HSS-Urban Sub Total</t>
  </si>
  <si>
    <t>Health System Strengthening (HSS) Rural</t>
  </si>
  <si>
    <t>HSS.1</t>
  </si>
  <si>
    <t>Operationalisation of Ayushman Arogya Mandirs (AAM) - Rural</t>
  </si>
  <si>
    <t>Wellness Activities at AAMs- Rural</t>
  </si>
  <si>
    <t>Teleconsultation Facilities at AAMs-Rural</t>
  </si>
  <si>
    <t>CHO Mentoring</t>
  </si>
  <si>
    <t>HSS.2</t>
  </si>
  <si>
    <t>Blood Services &amp; Disorders</t>
  </si>
  <si>
    <t>Screening for Blood Disorders</t>
  </si>
  <si>
    <t>Support for Blood Transfusion</t>
  </si>
  <si>
    <t xml:space="preserve">Blood Bank/BCSU/BSU/Thalassemia Day Care Centre </t>
  </si>
  <si>
    <t>Blood Collection and Transport Vans</t>
  </si>
  <si>
    <t>Other Blood Services &amp; Disorders Components</t>
  </si>
  <si>
    <t>HSS.3</t>
  </si>
  <si>
    <t>ASHA (including ASHA Certification and ASHA Benefit Package)</t>
  </si>
  <si>
    <t>VHSNC</t>
  </si>
  <si>
    <t>Other Community Engagements Components</t>
  </si>
  <si>
    <t>HSS.4</t>
  </si>
  <si>
    <t xml:space="preserve">Public Health Institutions as per IPHS norms 
</t>
  </si>
  <si>
    <t>District Hospitals</t>
  </si>
  <si>
    <t>Sub-District Hospitals</t>
  </si>
  <si>
    <t>Community Health Centers</t>
  </si>
  <si>
    <t>Primary Health Centers</t>
  </si>
  <si>
    <t>Sub-Health Centers</t>
  </si>
  <si>
    <t>Other Infrastructure/Civil works/Expansion etc.</t>
  </si>
  <si>
    <t>Renovation/Repair/Upgradation of Facilities for IPHS/NQAS/LaQshya/ MUSQAN/SUMAN Compliance</t>
  </si>
  <si>
    <t>HSS.5</t>
  </si>
  <si>
    <t>Referral Transport</t>
  </si>
  <si>
    <t>Advance Life Saving Ambulances</t>
  </si>
  <si>
    <t>Basic Life Saving Ambulances</t>
  </si>
  <si>
    <t>Patient Transport Vehicle</t>
  </si>
  <si>
    <t>Other Ambulances</t>
  </si>
  <si>
    <t>HSS.6</t>
  </si>
  <si>
    <t>HSS.7</t>
  </si>
  <si>
    <t>Other Initiatives to improve access</t>
  </si>
  <si>
    <t>Comprehensive Grievance Redressal Mechanism</t>
  </si>
  <si>
    <t>Free Drugs Services Initiative</t>
  </si>
  <si>
    <t>Free Diagnostics Services Initiative</t>
  </si>
  <si>
    <t>Mobile Medical Units</t>
  </si>
  <si>
    <t>State specific Programme Interventions and Innovations</t>
  </si>
  <si>
    <t>HSS.8</t>
  </si>
  <si>
    <t>Inventory management</t>
  </si>
  <si>
    <t>Biomedical Equipment Management System and AERB</t>
  </si>
  <si>
    <t>HSS.9</t>
  </si>
  <si>
    <t>Remuneration for CHOs</t>
  </si>
  <si>
    <t>Human Resource Information Systems (HRIS)</t>
  </si>
  <si>
    <t>HSS.10</t>
  </si>
  <si>
    <t>Enhancing HR</t>
  </si>
  <si>
    <t>DNB Courses for Medical Doctors</t>
  </si>
  <si>
    <t>Training Institutes and Skill Labs</t>
  </si>
  <si>
    <t>HSS.11</t>
  </si>
  <si>
    <t>SHSRC / ILC (Innovation &amp; Learning Centre)</t>
  </si>
  <si>
    <t>HSS.12</t>
  </si>
  <si>
    <t>IT interventions and systems</t>
  </si>
  <si>
    <t>Health Management Information System (HMIS)</t>
  </si>
  <si>
    <t>Implementation of DVDMS</t>
  </si>
  <si>
    <t>eSanjeevani (OPD+HWC)</t>
  </si>
  <si>
    <t>HSS.13</t>
  </si>
  <si>
    <t>HSS.14</t>
  </si>
  <si>
    <t>HSS.15</t>
  </si>
  <si>
    <t>Snakebite envenoming</t>
  </si>
  <si>
    <t>Snakebite Prevention and Control (SBPC)</t>
  </si>
  <si>
    <t>HSS.16</t>
  </si>
  <si>
    <t>Capacity building incl. training</t>
  </si>
  <si>
    <t>Capacity building incl. training (Incl. RCH, NDCP, NCD, HSS-Urban, HSS-Rural)*</t>
  </si>
  <si>
    <t>HSS.17</t>
  </si>
  <si>
    <t>ASHA Incentives</t>
  </si>
  <si>
    <t>ASHA Incentives (Incl. RCH, NDCP, NCD, HSS-Urban, HSS-Rural)*</t>
  </si>
  <si>
    <t>HSS.18</t>
  </si>
  <si>
    <t>IT Interventions and Systems</t>
  </si>
  <si>
    <t>IT interventions (Incl. RCH, NDCP, NCD, HSS-Urban, HSS-Rural - IT software, Laptops etc. for service delivery)*</t>
  </si>
  <si>
    <t>HSS.19</t>
  </si>
  <si>
    <t>IEC &amp; Printing</t>
  </si>
  <si>
    <t>IEC &amp; Printing (Incl. RCH, NDCP, NCD, HSS-Urban, HSS-Rural)*</t>
  </si>
  <si>
    <t>HSS.20</t>
  </si>
  <si>
    <t>PSA Plants (funded under PM-CARES)</t>
  </si>
  <si>
    <t>HSS.21</t>
  </si>
  <si>
    <t>State-specific Initiatives and Innovations*</t>
  </si>
  <si>
    <t>HSS-Rural Sub Total</t>
  </si>
  <si>
    <t>GRAND TOTAL</t>
  </si>
  <si>
    <t>Financial Progress</t>
  </si>
  <si>
    <t>Dimapur</t>
  </si>
  <si>
    <t>Kiphire</t>
  </si>
  <si>
    <t>Kohima</t>
  </si>
  <si>
    <t>Longleng</t>
  </si>
  <si>
    <t>Mon</t>
  </si>
  <si>
    <t>Mokokchung</t>
  </si>
  <si>
    <t>Noklak</t>
  </si>
  <si>
    <t>Peren</t>
  </si>
  <si>
    <t>Phek</t>
  </si>
  <si>
    <t>Tuensang</t>
  </si>
  <si>
    <t>Wokha</t>
  </si>
  <si>
    <t>Zunheboto</t>
  </si>
  <si>
    <t>State</t>
  </si>
  <si>
    <t>Total</t>
  </si>
  <si>
    <t>Budget Allotted/Approved as per ROP 2026-27 (in Lakhs)</t>
  </si>
  <si>
    <t>Infrastructure Maintenance</t>
  </si>
  <si>
    <t>Bifurcation of Approvals as per ROP 2026-27 (in lakhs): Allocation Districtwise &amp; State Level</t>
  </si>
  <si>
    <t>SPIP, DHAP &amp; BHAP</t>
  </si>
  <si>
    <t>10bed ICU</t>
  </si>
  <si>
    <t>PMC overall(fiel visits, Tworkshops/trainings/stationeries etc.)</t>
  </si>
  <si>
    <t>Re-Orientation Training for SPMU staffs on newer Programmes &amp; schemes under NHM</t>
  </si>
  <si>
    <t>MH</t>
  </si>
  <si>
    <t>PC&amp;PNDT</t>
  </si>
  <si>
    <t>CH</t>
  </si>
  <si>
    <t>RBSK</t>
  </si>
  <si>
    <t>RKSK</t>
  </si>
  <si>
    <t>FP</t>
  </si>
  <si>
    <t>IDSP</t>
  </si>
  <si>
    <t>NVBDCP</t>
  </si>
  <si>
    <t>NVHCP</t>
  </si>
  <si>
    <t>NRCP</t>
  </si>
  <si>
    <t>PPCL</t>
  </si>
  <si>
    <t>NPCB-VI</t>
  </si>
  <si>
    <t>NCD</t>
  </si>
  <si>
    <t>NPCCHH</t>
  </si>
  <si>
    <t>NOHP</t>
  </si>
  <si>
    <t>NPPCD</t>
  </si>
  <si>
    <t>NPPC</t>
  </si>
  <si>
    <t>IEC/BCC section</t>
  </si>
  <si>
    <t>TTL approval under IEC</t>
  </si>
  <si>
    <t>NUHM</t>
  </si>
  <si>
    <t>CP</t>
  </si>
  <si>
    <t>QA</t>
  </si>
  <si>
    <t>Snake Bite</t>
  </si>
  <si>
    <t>Website</t>
  </si>
  <si>
    <t>HIMS</t>
  </si>
  <si>
    <t>IEC &amp; Printing*</t>
  </si>
  <si>
    <t>G.Total</t>
  </si>
  <si>
    <t>G. Total</t>
  </si>
  <si>
    <t>CPHC</t>
  </si>
  <si>
    <t>NTCP</t>
  </si>
  <si>
    <t>IT (laptops for DPMS &amp; BPM)</t>
  </si>
  <si>
    <t>IM Kind Grants</t>
  </si>
  <si>
    <t>NLEP</t>
  </si>
  <si>
    <t>NTEP</t>
  </si>
  <si>
    <t>NMHP</t>
  </si>
  <si>
    <t>DVDMS</t>
  </si>
  <si>
    <t>NIDDCP</t>
  </si>
  <si>
    <t>PMNDP</t>
  </si>
  <si>
    <t>NP-NCD</t>
  </si>
  <si>
    <t>*</t>
  </si>
  <si>
    <t>**</t>
  </si>
  <si>
    <t>Nagaland: State &amp; District RoP for FY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</si>
</sst>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3" tint="0.249977111117893"/>
      <name val="Calibri"/>
      <family val="2"/>
      <scheme val="minor"/>
    </font>
    <font>
      <sz val="12"/>
      <color theme="3" tint="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Bookman Old Style"/>
      <family val="1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6DCE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3C47D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B4C6E7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13">
    <xf numFmtId="0" fontId="0" fillId="0" borderId="0" xfId="0"/>
    <xf numFmtId="0" fontId="0" fillId="0" borderId="0" xfId="0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10" borderId="2" xfId="0" applyFont="1" applyFill="1" applyBorder="1" applyAlignment="1">
      <alignment vertical="top" wrapText="1"/>
    </xf>
    <xf numFmtId="0" fontId="3" fillId="10" borderId="3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2" fontId="0" fillId="0" borderId="0" xfId="0" applyNumberFormat="1" applyAlignment="1">
      <alignment vertical="top"/>
    </xf>
    <xf numFmtId="0" fontId="2" fillId="0" borderId="1" xfId="0" applyFont="1" applyBorder="1" applyAlignment="1">
      <alignment vertical="top"/>
    </xf>
    <xf numFmtId="2" fontId="0" fillId="0" borderId="1" xfId="0" applyNumberFormat="1" applyBorder="1" applyAlignment="1">
      <alignment vertical="top"/>
    </xf>
    <xf numFmtId="164" fontId="9" fillId="8" borderId="1" xfId="1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vertical="top"/>
    </xf>
    <xf numFmtId="164" fontId="9" fillId="6" borderId="1" xfId="1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/>
    </xf>
    <xf numFmtId="0" fontId="9" fillId="7" borderId="1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/>
    </xf>
    <xf numFmtId="0" fontId="4" fillId="12" borderId="1" xfId="0" applyFont="1" applyFill="1" applyBorder="1" applyAlignment="1">
      <alignment horizontal="center" vertical="top" wrapText="1"/>
    </xf>
    <xf numFmtId="0" fontId="0" fillId="8" borderId="0" xfId="0" applyFill="1" applyAlignment="1">
      <alignment vertical="top"/>
    </xf>
    <xf numFmtId="0" fontId="3" fillId="10" borderId="2" xfId="0" applyFont="1" applyFill="1" applyBorder="1" applyAlignment="1">
      <alignment wrapText="1"/>
    </xf>
    <xf numFmtId="164" fontId="9" fillId="8" borderId="1" xfId="1" applyFont="1" applyFill="1" applyBorder="1" applyAlignment="1">
      <alignment horizontal="center" wrapText="1"/>
    </xf>
    <xf numFmtId="0" fontId="9" fillId="8" borderId="1" xfId="0" applyFont="1" applyFill="1" applyBorder="1"/>
    <xf numFmtId="0" fontId="3" fillId="10" borderId="3" xfId="0" applyFont="1" applyFill="1" applyBorder="1" applyAlignment="1">
      <alignment wrapText="1"/>
    </xf>
    <xf numFmtId="164" fontId="9" fillId="6" borderId="1" xfId="1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/>
    <xf numFmtId="0" fontId="4" fillId="14" borderId="1" xfId="0" applyFont="1" applyFill="1" applyBorder="1" applyAlignment="1">
      <alignment horizontal="center" vertical="top" wrapText="1"/>
    </xf>
    <xf numFmtId="0" fontId="4" fillId="14" borderId="1" xfId="0" applyFont="1" applyFill="1" applyBorder="1" applyAlignment="1">
      <alignment vertical="top" wrapText="1"/>
    </xf>
    <xf numFmtId="0" fontId="0" fillId="14" borderId="0" xfId="0" applyFill="1" applyAlignment="1">
      <alignment vertical="top"/>
    </xf>
    <xf numFmtId="0" fontId="4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vertical="top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vertical="center"/>
    </xf>
    <xf numFmtId="2" fontId="11" fillId="0" borderId="1" xfId="0" applyNumberFormat="1" applyFont="1" applyBorder="1" applyAlignment="1">
      <alignment vertical="top"/>
    </xf>
    <xf numFmtId="2" fontId="0" fillId="0" borderId="1" xfId="0" applyNumberFormat="1" applyBorder="1"/>
    <xf numFmtId="2" fontId="0" fillId="0" borderId="0" xfId="0" applyNumberFormat="1"/>
    <xf numFmtId="0" fontId="2" fillId="6" borderId="1" xfId="0" applyFont="1" applyFill="1" applyBorder="1" applyAlignment="1">
      <alignment horizontal="center" vertical="top"/>
    </xf>
    <xf numFmtId="0" fontId="2" fillId="0" borderId="1" xfId="0" applyFont="1" applyBorder="1"/>
    <xf numFmtId="2" fontId="0" fillId="0" borderId="1" xfId="0" applyNumberFormat="1" applyBorder="1" applyAlignment="1">
      <alignment horizontal="right" vertical="top"/>
    </xf>
    <xf numFmtId="2" fontId="1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2" borderId="1" xfId="0" applyNumberFormat="1" applyFill="1" applyBorder="1" applyAlignment="1">
      <alignment vertical="top"/>
    </xf>
    <xf numFmtId="2" fontId="0" fillId="0" borderId="1" xfId="0" applyNumberFormat="1" applyBorder="1" applyAlignment="1">
      <alignment horizontal="right" vertical="center"/>
    </xf>
    <xf numFmtId="2" fontId="0" fillId="2" borderId="1" xfId="0" applyNumberFormat="1" applyFill="1" applyBorder="1" applyAlignment="1">
      <alignment horizontal="right" vertical="top"/>
    </xf>
    <xf numFmtId="2" fontId="0" fillId="0" borderId="0" xfId="0" applyNumberFormat="1" applyAlignment="1">
      <alignment horizontal="right"/>
    </xf>
    <xf numFmtId="2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 vertical="center"/>
    </xf>
    <xf numFmtId="2" fontId="12" fillId="2" borderId="1" xfId="0" applyNumberFormat="1" applyFont="1" applyFill="1" applyBorder="1" applyAlignment="1">
      <alignment horizontal="right" vertical="center" wrapText="1"/>
    </xf>
    <xf numFmtId="2" fontId="13" fillId="2" borderId="1" xfId="0" applyNumberFormat="1" applyFont="1" applyFill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/>
    </xf>
    <xf numFmtId="2" fontId="14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2" fillId="0" borderId="0" xfId="0" applyFont="1"/>
    <xf numFmtId="2" fontId="0" fillId="8" borderId="1" xfId="0" applyNumberFormat="1" applyFill="1" applyBorder="1" applyAlignment="1">
      <alignment vertical="top"/>
    </xf>
    <xf numFmtId="2" fontId="2" fillId="8" borderId="1" xfId="0" applyNumberFormat="1" applyFont="1" applyFill="1" applyBorder="1" applyAlignment="1">
      <alignment vertical="top"/>
    </xf>
    <xf numFmtId="2" fontId="0" fillId="14" borderId="1" xfId="0" applyNumberFormat="1" applyFill="1" applyBorder="1" applyAlignment="1">
      <alignment vertical="top"/>
    </xf>
    <xf numFmtId="2" fontId="11" fillId="2" borderId="1" xfId="0" applyNumberFormat="1" applyFont="1" applyFill="1" applyBorder="1" applyAlignment="1">
      <alignment vertical="top"/>
    </xf>
    <xf numFmtId="2" fontId="6" fillId="0" borderId="1" xfId="0" applyNumberFormat="1" applyFont="1" applyBorder="1" applyAlignment="1">
      <alignment vertical="top"/>
    </xf>
    <xf numFmtId="2" fontId="16" fillId="0" borderId="1" xfId="0" applyNumberFormat="1" applyFont="1" applyBorder="1" applyAlignment="1">
      <alignment vertical="center"/>
    </xf>
    <xf numFmtId="2" fontId="0" fillId="16" borderId="1" xfId="0" applyNumberFormat="1" applyFill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2" fontId="2" fillId="0" borderId="0" xfId="0" applyNumberFormat="1" applyFont="1" applyAlignment="1">
      <alignment vertical="top"/>
    </xf>
    <xf numFmtId="2" fontId="0" fillId="0" borderId="0" xfId="0" applyNumberFormat="1" applyAlignment="1">
      <alignment horizontal="right" vertical="top"/>
    </xf>
    <xf numFmtId="2" fontId="0" fillId="0" borderId="1" xfId="0" applyNumberFormat="1" applyBorder="1" applyAlignment="1">
      <alignment vertical="center"/>
    </xf>
    <xf numFmtId="2" fontId="0" fillId="0" borderId="0" xfId="0" applyNumberFormat="1" applyAlignment="1">
      <alignment vertical="center"/>
    </xf>
    <xf numFmtId="2" fontId="15" fillId="0" borderId="1" xfId="0" applyNumberFormat="1" applyFont="1" applyBorder="1" applyAlignment="1">
      <alignment vertical="center"/>
    </xf>
    <xf numFmtId="2" fontId="14" fillId="0" borderId="0" xfId="0" applyNumberFormat="1" applyFont="1"/>
    <xf numFmtId="0" fontId="4" fillId="17" borderId="1" xfId="0" applyFont="1" applyFill="1" applyBorder="1" applyAlignment="1">
      <alignment horizontal="center" vertical="top" wrapText="1"/>
    </xf>
    <xf numFmtId="2" fontId="2" fillId="17" borderId="1" xfId="0" applyNumberFormat="1" applyFont="1" applyFill="1" applyBorder="1" applyAlignment="1">
      <alignment vertical="top"/>
    </xf>
    <xf numFmtId="0" fontId="7" fillId="10" borderId="1" xfId="2" applyFont="1" applyFill="1" applyBorder="1" applyAlignment="1">
      <alignment horizontal="left" vertical="center"/>
    </xf>
    <xf numFmtId="0" fontId="2" fillId="9" borderId="1" xfId="0" applyFont="1" applyFill="1" applyBorder="1" applyAlignment="1">
      <alignment vertical="top"/>
    </xf>
    <xf numFmtId="0" fontId="6" fillId="17" borderId="1" xfId="0" applyFont="1" applyFill="1" applyBorder="1" applyAlignment="1">
      <alignment horizontal="center" vertical="top" wrapText="1"/>
    </xf>
    <xf numFmtId="0" fontId="9" fillId="8" borderId="5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13" borderId="1" xfId="0" applyFont="1" applyFill="1" applyBorder="1" applyAlignment="1">
      <alignment horizontal="center" vertical="top" wrapText="1"/>
    </xf>
    <xf numFmtId="0" fontId="5" fillId="13" borderId="1" xfId="0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textRotation="90" wrapText="1"/>
    </xf>
    <xf numFmtId="0" fontId="4" fillId="0" borderId="3" xfId="0" applyFont="1" applyBorder="1" applyAlignment="1">
      <alignment horizontal="left" vertical="top" textRotation="90" wrapText="1"/>
    </xf>
    <xf numFmtId="0" fontId="4" fillId="0" borderId="4" xfId="0" applyFont="1" applyBorder="1" applyAlignment="1">
      <alignment horizontal="left" vertical="top" textRotation="90" wrapText="1"/>
    </xf>
    <xf numFmtId="0" fontId="4" fillId="2" borderId="1" xfId="0" applyFont="1" applyFill="1" applyBorder="1" applyAlignment="1">
      <alignment horizontal="center" vertical="top" wrapText="1"/>
    </xf>
    <xf numFmtId="0" fontId="3" fillId="10" borderId="2" xfId="0" applyFont="1" applyFill="1" applyBorder="1" applyAlignment="1">
      <alignment horizontal="center" vertical="top" wrapText="1"/>
    </xf>
    <xf numFmtId="0" fontId="3" fillId="10" borderId="3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9" fillId="8" borderId="5" xfId="0" applyFont="1" applyFill="1" applyBorder="1" applyAlignment="1">
      <alignment horizontal="center" vertical="top"/>
    </xf>
    <xf numFmtId="0" fontId="9" fillId="8" borderId="6" xfId="0" applyFont="1" applyFill="1" applyBorder="1" applyAlignment="1">
      <alignment horizontal="center" vertical="top"/>
    </xf>
    <xf numFmtId="0" fontId="9" fillId="8" borderId="7" xfId="0" applyFont="1" applyFill="1" applyBorder="1" applyAlignment="1">
      <alignment horizontal="center" vertical="top"/>
    </xf>
    <xf numFmtId="0" fontId="3" fillId="10" borderId="2" xfId="0" applyFont="1" applyFill="1" applyBorder="1" applyAlignment="1">
      <alignment horizontal="center" wrapText="1"/>
    </xf>
    <xf numFmtId="0" fontId="3" fillId="10" borderId="3" xfId="0" applyFont="1" applyFill="1" applyBorder="1" applyAlignment="1">
      <alignment horizontal="center" wrapText="1"/>
    </xf>
    <xf numFmtId="0" fontId="9" fillId="8" borderId="5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34"/>
  <sheetViews>
    <sheetView tabSelected="1" zoomScale="70" zoomScaleNormal="70" workbookViewId="0">
      <pane xSplit="6" ySplit="3" topLeftCell="G4" activePane="bottomRight" state="frozen"/>
      <selection pane="topRight" activeCell="G1" sqref="G1"/>
      <selection pane="bottomLeft" activeCell="A5" sqref="A5"/>
      <selection pane="bottomRight" activeCell="M11" sqref="M11"/>
    </sheetView>
  </sheetViews>
  <sheetFormatPr defaultColWidth="9.109375" defaultRowHeight="14.4" x14ac:dyDescent="0.3"/>
  <cols>
    <col min="1" max="1" width="2.88671875" style="1" customWidth="1"/>
    <col min="2" max="2" width="7.109375" style="1" customWidth="1"/>
    <col min="3" max="3" width="9.109375" style="1"/>
    <col min="4" max="4" width="16.88671875" style="1" customWidth="1"/>
    <col min="5" max="5" width="6.44140625" style="1" customWidth="1"/>
    <col min="6" max="6" width="35.88671875" style="1" customWidth="1"/>
    <col min="7" max="7" width="22.5546875" style="1" customWidth="1"/>
    <col min="8" max="8" width="11.109375" style="1" customWidth="1"/>
    <col min="9" max="9" width="10.6640625" style="1" customWidth="1"/>
    <col min="10" max="10" width="11.33203125" style="1" customWidth="1"/>
    <col min="11" max="11" width="11.109375" style="1" customWidth="1"/>
    <col min="12" max="12" width="9.33203125" style="1" bestFit="1" customWidth="1"/>
    <col min="13" max="13" width="14.109375" style="1" customWidth="1"/>
    <col min="14" max="14" width="10" style="1" customWidth="1"/>
    <col min="15" max="16" width="9.6640625" style="1" bestFit="1" customWidth="1"/>
    <col min="17" max="17" width="11" style="1" customWidth="1"/>
    <col min="18" max="18" width="10.5546875" style="1" customWidth="1"/>
    <col min="19" max="19" width="12" style="1" customWidth="1"/>
    <col min="20" max="20" width="13.6640625" style="1" customWidth="1"/>
    <col min="21" max="21" width="13.109375" style="1" customWidth="1"/>
    <col min="22" max="16384" width="9.109375" style="1"/>
  </cols>
  <sheetData>
    <row r="1" spans="2:21" ht="23.25" customHeight="1" x14ac:dyDescent="0.3">
      <c r="B1" s="92" t="s">
        <v>367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spans="2:21" ht="20.25" customHeight="1" x14ac:dyDescent="0.3">
      <c r="B2" s="102" t="s">
        <v>0</v>
      </c>
      <c r="C2" s="102" t="s">
        <v>1</v>
      </c>
      <c r="D2" s="102" t="s">
        <v>2</v>
      </c>
      <c r="E2" s="102" t="s">
        <v>3</v>
      </c>
      <c r="F2" s="12" t="s">
        <v>4</v>
      </c>
      <c r="G2" s="18" t="s">
        <v>304</v>
      </c>
      <c r="H2" s="89" t="s">
        <v>321</v>
      </c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1"/>
      <c r="U2" s="19"/>
    </row>
    <row r="3" spans="2:21" ht="50.25" customHeight="1" x14ac:dyDescent="0.3">
      <c r="B3" s="103"/>
      <c r="C3" s="103"/>
      <c r="D3" s="103"/>
      <c r="E3" s="103"/>
      <c r="F3" s="13"/>
      <c r="G3" s="20" t="s">
        <v>319</v>
      </c>
      <c r="H3" s="21" t="s">
        <v>305</v>
      </c>
      <c r="I3" s="21" t="s">
        <v>306</v>
      </c>
      <c r="J3" s="21" t="s">
        <v>307</v>
      </c>
      <c r="K3" s="21" t="s">
        <v>308</v>
      </c>
      <c r="L3" s="21" t="s">
        <v>309</v>
      </c>
      <c r="M3" s="21" t="s">
        <v>310</v>
      </c>
      <c r="N3" s="21" t="s">
        <v>311</v>
      </c>
      <c r="O3" s="21" t="s">
        <v>312</v>
      </c>
      <c r="P3" s="21" t="s">
        <v>313</v>
      </c>
      <c r="Q3" s="21" t="s">
        <v>314</v>
      </c>
      <c r="R3" s="21" t="s">
        <v>315</v>
      </c>
      <c r="S3" s="21" t="s">
        <v>316</v>
      </c>
      <c r="T3" s="22" t="s">
        <v>317</v>
      </c>
      <c r="U3" s="23" t="s">
        <v>318</v>
      </c>
    </row>
    <row r="4" spans="2:21" ht="31.2" x14ac:dyDescent="0.3">
      <c r="B4" s="98" t="s">
        <v>5</v>
      </c>
      <c r="C4" s="93" t="s">
        <v>6</v>
      </c>
      <c r="D4" s="93" t="s">
        <v>7</v>
      </c>
      <c r="E4" s="2">
        <v>1</v>
      </c>
      <c r="F4" s="3" t="s">
        <v>8</v>
      </c>
      <c r="G4" s="17">
        <v>102.48</v>
      </c>
      <c r="H4" s="17">
        <v>12.32</v>
      </c>
      <c r="I4" s="17">
        <v>9.5299999999999994</v>
      </c>
      <c r="J4" s="17">
        <v>6.16</v>
      </c>
      <c r="K4" s="17">
        <v>4.3099999999999996</v>
      </c>
      <c r="L4" s="17">
        <v>11.33</v>
      </c>
      <c r="M4" s="17">
        <v>5.46</v>
      </c>
      <c r="N4" s="17">
        <v>3.57</v>
      </c>
      <c r="O4" s="17">
        <v>7.09</v>
      </c>
      <c r="P4" s="17">
        <v>8.17</v>
      </c>
      <c r="Q4" s="17">
        <v>9.1199999999999992</v>
      </c>
      <c r="R4" s="17">
        <v>10.62</v>
      </c>
      <c r="S4" s="17">
        <v>14.8</v>
      </c>
      <c r="T4" s="17">
        <v>0</v>
      </c>
      <c r="U4" s="17">
        <f t="shared" ref="U4:U68" si="0">SUM(H4:T4)</f>
        <v>102.48</v>
      </c>
    </row>
    <row r="5" spans="2:21" ht="31.2" x14ac:dyDescent="0.3">
      <c r="B5" s="99"/>
      <c r="C5" s="94"/>
      <c r="D5" s="94"/>
      <c r="E5" s="2">
        <v>2</v>
      </c>
      <c r="F5" s="3" t="s">
        <v>9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f t="shared" si="0"/>
        <v>0</v>
      </c>
    </row>
    <row r="6" spans="2:21" ht="15.6" x14ac:dyDescent="0.3">
      <c r="B6" s="99"/>
      <c r="C6" s="94"/>
      <c r="D6" s="94"/>
      <c r="E6" s="2">
        <v>3</v>
      </c>
      <c r="F6" s="3" t="s">
        <v>10</v>
      </c>
      <c r="G6" s="17">
        <v>102.9</v>
      </c>
      <c r="H6" s="17">
        <v>16.18</v>
      </c>
      <c r="I6" s="17">
        <v>3.99</v>
      </c>
      <c r="J6" s="17">
        <v>11.71</v>
      </c>
      <c r="K6" s="17">
        <v>3.84</v>
      </c>
      <c r="L6" s="17">
        <v>12.03</v>
      </c>
      <c r="M6" s="17">
        <v>8.56</v>
      </c>
      <c r="N6" s="17">
        <v>3.84</v>
      </c>
      <c r="O6" s="17">
        <v>4.95</v>
      </c>
      <c r="P6" s="17">
        <v>8.11</v>
      </c>
      <c r="Q6" s="17">
        <v>9.58</v>
      </c>
      <c r="R6" s="17">
        <v>8.25</v>
      </c>
      <c r="S6" s="17">
        <v>7.06</v>
      </c>
      <c r="T6" s="17">
        <v>4.8</v>
      </c>
      <c r="U6" s="17">
        <f t="shared" si="0"/>
        <v>102.9</v>
      </c>
    </row>
    <row r="7" spans="2:21" ht="31.2" x14ac:dyDescent="0.3">
      <c r="B7" s="99"/>
      <c r="C7" s="94"/>
      <c r="D7" s="94"/>
      <c r="E7" s="2">
        <v>4</v>
      </c>
      <c r="F7" s="3" t="s">
        <v>11</v>
      </c>
      <c r="G7" s="17">
        <v>334.9</v>
      </c>
      <c r="H7" s="17">
        <v>14.04</v>
      </c>
      <c r="I7" s="17">
        <v>2.73</v>
      </c>
      <c r="J7" s="17">
        <v>9.9600000000000009</v>
      </c>
      <c r="K7" s="17">
        <v>2.59</v>
      </c>
      <c r="L7" s="17">
        <v>9.25</v>
      </c>
      <c r="M7" s="17">
        <v>7.04</v>
      </c>
      <c r="N7" s="17">
        <v>2.59</v>
      </c>
      <c r="O7" s="17">
        <v>3.48</v>
      </c>
      <c r="P7" s="17">
        <v>6.03</v>
      </c>
      <c r="Q7" s="17">
        <v>7.24</v>
      </c>
      <c r="R7" s="17">
        <v>6.14</v>
      </c>
      <c r="S7" s="17">
        <v>5.18</v>
      </c>
      <c r="T7" s="17">
        <v>258.63</v>
      </c>
      <c r="U7" s="17">
        <f t="shared" si="0"/>
        <v>334.9</v>
      </c>
    </row>
    <row r="8" spans="2:21" ht="31.2" x14ac:dyDescent="0.3">
      <c r="B8" s="99"/>
      <c r="C8" s="94"/>
      <c r="D8" s="94"/>
      <c r="E8" s="2">
        <v>5</v>
      </c>
      <c r="F8" s="3" t="s">
        <v>12</v>
      </c>
      <c r="G8" s="17">
        <v>181.93</v>
      </c>
      <c r="H8" s="17">
        <v>33.44</v>
      </c>
      <c r="I8" s="17">
        <v>6.51</v>
      </c>
      <c r="J8" s="17">
        <v>23.74</v>
      </c>
      <c r="K8" s="17">
        <v>6.17</v>
      </c>
      <c r="L8" s="17">
        <v>22.05</v>
      </c>
      <c r="M8" s="17">
        <v>16.88</v>
      </c>
      <c r="N8" s="17">
        <v>6.17</v>
      </c>
      <c r="O8" s="17">
        <v>8.32</v>
      </c>
      <c r="P8" s="17">
        <v>14.37</v>
      </c>
      <c r="Q8" s="17">
        <v>17.28</v>
      </c>
      <c r="R8" s="17">
        <v>14.63</v>
      </c>
      <c r="S8" s="17">
        <v>12.37</v>
      </c>
      <c r="T8" s="17">
        <v>0</v>
      </c>
      <c r="U8" s="17">
        <f t="shared" si="0"/>
        <v>181.93</v>
      </c>
    </row>
    <row r="9" spans="2:21" ht="31.2" x14ac:dyDescent="0.3">
      <c r="B9" s="99"/>
      <c r="C9" s="94"/>
      <c r="D9" s="94"/>
      <c r="E9" s="2">
        <v>6</v>
      </c>
      <c r="F9" s="3" t="s">
        <v>13</v>
      </c>
      <c r="G9" s="17">
        <v>9.6</v>
      </c>
      <c r="H9" s="17">
        <v>0.8</v>
      </c>
      <c r="I9" s="17">
        <v>0.8</v>
      </c>
      <c r="J9" s="17">
        <v>0.8</v>
      </c>
      <c r="K9" s="17">
        <v>0.8</v>
      </c>
      <c r="L9" s="17">
        <v>0.8</v>
      </c>
      <c r="M9" s="17">
        <v>0.8</v>
      </c>
      <c r="N9" s="17">
        <v>0.8</v>
      </c>
      <c r="O9" s="17">
        <v>0.8</v>
      </c>
      <c r="P9" s="17">
        <v>0.8</v>
      </c>
      <c r="Q9" s="17">
        <v>0.8</v>
      </c>
      <c r="R9" s="17">
        <v>0.8</v>
      </c>
      <c r="S9" s="17">
        <v>0.8</v>
      </c>
      <c r="T9" s="17">
        <v>0</v>
      </c>
      <c r="U9" s="17">
        <f t="shared" si="0"/>
        <v>9.6</v>
      </c>
    </row>
    <row r="10" spans="2:21" ht="31.2" x14ac:dyDescent="0.3">
      <c r="B10" s="99"/>
      <c r="C10" s="94"/>
      <c r="D10" s="94"/>
      <c r="E10" s="2">
        <v>7</v>
      </c>
      <c r="F10" s="3" t="s">
        <v>14</v>
      </c>
      <c r="G10" s="17">
        <v>12.600000000000003</v>
      </c>
      <c r="H10" s="17">
        <v>1.05</v>
      </c>
      <c r="I10" s="17">
        <v>1.05</v>
      </c>
      <c r="J10" s="17">
        <v>1.05</v>
      </c>
      <c r="K10" s="17">
        <v>1.05</v>
      </c>
      <c r="L10" s="17">
        <v>1.05</v>
      </c>
      <c r="M10" s="17">
        <v>1.05</v>
      </c>
      <c r="N10" s="17">
        <v>1.05</v>
      </c>
      <c r="O10" s="17">
        <v>1.05</v>
      </c>
      <c r="P10" s="17">
        <v>1.05</v>
      </c>
      <c r="Q10" s="17">
        <v>1.05</v>
      </c>
      <c r="R10" s="17">
        <v>1.05</v>
      </c>
      <c r="S10" s="17">
        <v>1.05</v>
      </c>
      <c r="T10" s="17">
        <v>0</v>
      </c>
      <c r="U10" s="17">
        <f t="shared" si="0"/>
        <v>12.600000000000003</v>
      </c>
    </row>
    <row r="11" spans="2:21" ht="15.6" x14ac:dyDescent="0.3">
      <c r="B11" s="99"/>
      <c r="C11" s="94"/>
      <c r="D11" s="94"/>
      <c r="E11" s="2">
        <v>8</v>
      </c>
      <c r="F11" s="3" t="s">
        <v>15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/>
      <c r="T11" s="17">
        <v>0</v>
      </c>
      <c r="U11" s="17">
        <f t="shared" si="0"/>
        <v>0</v>
      </c>
    </row>
    <row r="12" spans="2:21" ht="15.6" x14ac:dyDescent="0.3">
      <c r="B12" s="99"/>
      <c r="C12" s="94"/>
      <c r="D12" s="94"/>
      <c r="E12" s="2">
        <v>9</v>
      </c>
      <c r="F12" s="4" t="s">
        <v>16</v>
      </c>
      <c r="G12" s="17">
        <v>6.1000000000000014</v>
      </c>
      <c r="H12" s="17">
        <v>0.24</v>
      </c>
      <c r="I12" s="17">
        <v>0.24</v>
      </c>
      <c r="J12" s="17">
        <v>0.24</v>
      </c>
      <c r="K12" s="17">
        <v>0.24</v>
      </c>
      <c r="L12" s="17">
        <v>0.24</v>
      </c>
      <c r="M12" s="17">
        <v>0.24</v>
      </c>
      <c r="N12" s="17">
        <v>0.24</v>
      </c>
      <c r="O12" s="17">
        <v>0.24</v>
      </c>
      <c r="P12" s="17">
        <v>0.24</v>
      </c>
      <c r="Q12" s="17">
        <v>0.24</v>
      </c>
      <c r="R12" s="17">
        <v>0.24</v>
      </c>
      <c r="S12" s="17">
        <v>0.24</v>
      </c>
      <c r="T12" s="17">
        <v>3.22</v>
      </c>
      <c r="U12" s="17">
        <f t="shared" si="0"/>
        <v>6.1000000000000014</v>
      </c>
    </row>
    <row r="13" spans="2:21" ht="15.6" x14ac:dyDescent="0.3">
      <c r="B13" s="99"/>
      <c r="C13" s="94"/>
      <c r="D13" s="94"/>
      <c r="E13" s="2">
        <v>10</v>
      </c>
      <c r="F13" s="3" t="s">
        <v>17</v>
      </c>
      <c r="G13" s="17">
        <v>9.75</v>
      </c>
      <c r="H13" s="17">
        <v>0</v>
      </c>
      <c r="I13" s="17"/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9.75</v>
      </c>
      <c r="U13" s="17">
        <f t="shared" si="0"/>
        <v>9.75</v>
      </c>
    </row>
    <row r="14" spans="2:21" ht="15.6" x14ac:dyDescent="0.3">
      <c r="B14" s="99"/>
      <c r="C14" s="94"/>
      <c r="D14" s="94"/>
      <c r="E14" s="2">
        <v>11</v>
      </c>
      <c r="F14" s="3" t="s">
        <v>18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f t="shared" si="0"/>
        <v>0</v>
      </c>
    </row>
    <row r="15" spans="2:21" ht="15.6" x14ac:dyDescent="0.3">
      <c r="B15" s="99"/>
      <c r="C15" s="94"/>
      <c r="D15" s="94"/>
      <c r="E15" s="2">
        <v>12</v>
      </c>
      <c r="F15" s="3" t="s">
        <v>19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f t="shared" si="0"/>
        <v>0</v>
      </c>
    </row>
    <row r="16" spans="2:21" ht="15.6" x14ac:dyDescent="0.3">
      <c r="B16" s="99"/>
      <c r="C16" s="94"/>
      <c r="D16" s="94"/>
      <c r="E16" s="2">
        <v>13</v>
      </c>
      <c r="F16" s="4" t="s">
        <v>20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f t="shared" si="0"/>
        <v>0</v>
      </c>
    </row>
    <row r="17" spans="2:21" ht="15.6" x14ac:dyDescent="0.3">
      <c r="B17" s="99"/>
      <c r="C17" s="94"/>
      <c r="D17" s="94"/>
      <c r="E17" s="2">
        <v>14</v>
      </c>
      <c r="F17" s="3" t="s">
        <v>21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f t="shared" si="0"/>
        <v>0</v>
      </c>
    </row>
    <row r="18" spans="2:21" ht="15.6" x14ac:dyDescent="0.3">
      <c r="B18" s="99"/>
      <c r="C18" s="94"/>
      <c r="D18" s="94"/>
      <c r="E18" s="5">
        <v>15</v>
      </c>
      <c r="F18" s="3" t="s">
        <v>22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f t="shared" si="0"/>
        <v>0</v>
      </c>
    </row>
    <row r="19" spans="2:21" s="40" customFormat="1" ht="31.2" x14ac:dyDescent="0.3">
      <c r="B19" s="99"/>
      <c r="C19" s="94"/>
      <c r="D19" s="94"/>
      <c r="E19" s="38">
        <v>16</v>
      </c>
      <c r="F19" s="39" t="s">
        <v>23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spans="2:21" ht="15.6" x14ac:dyDescent="0.3">
      <c r="B20" s="99"/>
      <c r="C20" s="94"/>
      <c r="D20" s="94"/>
      <c r="E20" s="2">
        <v>17</v>
      </c>
      <c r="F20" s="3" t="s">
        <v>24</v>
      </c>
      <c r="G20" s="17">
        <v>43.34</v>
      </c>
      <c r="H20" s="17">
        <v>1.17</v>
      </c>
      <c r="I20" s="17">
        <v>1.17</v>
      </c>
      <c r="J20" s="17">
        <v>1.17</v>
      </c>
      <c r="K20" s="17">
        <v>1.17</v>
      </c>
      <c r="L20" s="17">
        <v>1.17</v>
      </c>
      <c r="M20" s="17">
        <v>1.17</v>
      </c>
      <c r="N20" s="17">
        <v>1.17</v>
      </c>
      <c r="O20" s="17">
        <v>1.17</v>
      </c>
      <c r="P20" s="17">
        <v>1.17</v>
      </c>
      <c r="Q20" s="17">
        <v>1.17</v>
      </c>
      <c r="R20" s="17">
        <v>1.17</v>
      </c>
      <c r="S20" s="17">
        <v>1.17</v>
      </c>
      <c r="T20" s="17">
        <v>29.3</v>
      </c>
      <c r="U20" s="17">
        <f t="shared" si="0"/>
        <v>43.34</v>
      </c>
    </row>
    <row r="21" spans="2:21" s="40" customFormat="1" ht="31.2" x14ac:dyDescent="0.3">
      <c r="B21" s="99"/>
      <c r="C21" s="94"/>
      <c r="D21" s="94"/>
      <c r="E21" s="38">
        <v>18</v>
      </c>
      <c r="F21" s="39" t="s">
        <v>25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17">
        <f t="shared" si="0"/>
        <v>0</v>
      </c>
    </row>
    <row r="22" spans="2:21" ht="15.6" x14ac:dyDescent="0.3">
      <c r="B22" s="99"/>
      <c r="C22" s="93" t="s">
        <v>26</v>
      </c>
      <c r="D22" s="104" t="s">
        <v>27</v>
      </c>
      <c r="E22" s="2">
        <v>19</v>
      </c>
      <c r="F22" s="6" t="s">
        <v>27</v>
      </c>
      <c r="G22" s="17">
        <v>2.4</v>
      </c>
      <c r="H22" s="17">
        <v>0.2</v>
      </c>
      <c r="I22" s="17">
        <v>0.2</v>
      </c>
      <c r="J22" s="17">
        <v>0.2</v>
      </c>
      <c r="K22" s="17">
        <v>0.2</v>
      </c>
      <c r="L22" s="17">
        <v>0.2</v>
      </c>
      <c r="M22" s="17">
        <v>0.2</v>
      </c>
      <c r="N22" s="17">
        <v>0.2</v>
      </c>
      <c r="O22" s="17">
        <v>0.2</v>
      </c>
      <c r="P22" s="17">
        <v>0.2</v>
      </c>
      <c r="Q22" s="17">
        <v>0.2</v>
      </c>
      <c r="R22" s="17">
        <v>0.2</v>
      </c>
      <c r="S22" s="17">
        <v>0.2</v>
      </c>
      <c r="T22" s="17"/>
      <c r="U22" s="17">
        <f t="shared" si="0"/>
        <v>2.4</v>
      </c>
    </row>
    <row r="23" spans="2:21" ht="46.8" x14ac:dyDescent="0.3">
      <c r="B23" s="99"/>
      <c r="C23" s="94"/>
      <c r="D23" s="104"/>
      <c r="E23" s="5">
        <v>20</v>
      </c>
      <c r="F23" s="3" t="s">
        <v>28</v>
      </c>
      <c r="G23" s="17">
        <v>4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4</v>
      </c>
      <c r="U23" s="17">
        <f t="shared" si="0"/>
        <v>4</v>
      </c>
    </row>
    <row r="24" spans="2:21" ht="31.2" x14ac:dyDescent="0.3">
      <c r="B24" s="99"/>
      <c r="C24" s="93" t="s">
        <v>29</v>
      </c>
      <c r="D24" s="93" t="s">
        <v>30</v>
      </c>
      <c r="E24" s="5">
        <v>21</v>
      </c>
      <c r="F24" s="3" t="s">
        <v>31</v>
      </c>
      <c r="G24" s="80">
        <v>124.64999999999999</v>
      </c>
      <c r="H24" s="80">
        <v>9.9499999999999993</v>
      </c>
      <c r="I24" s="80">
        <v>11</v>
      </c>
      <c r="J24" s="80">
        <v>9.9499999999999993</v>
      </c>
      <c r="K24" s="80">
        <v>10</v>
      </c>
      <c r="L24" s="80">
        <v>11</v>
      </c>
      <c r="M24" s="80">
        <v>9.9499999999999993</v>
      </c>
      <c r="N24" s="80">
        <v>11.8</v>
      </c>
      <c r="O24" s="80">
        <v>10</v>
      </c>
      <c r="P24" s="80">
        <v>10</v>
      </c>
      <c r="Q24" s="80">
        <v>11</v>
      </c>
      <c r="R24" s="80">
        <v>10</v>
      </c>
      <c r="S24" s="80">
        <v>10</v>
      </c>
      <c r="T24" s="80"/>
      <c r="U24" s="17">
        <f t="shared" si="0"/>
        <v>124.64999999999999</v>
      </c>
    </row>
    <row r="25" spans="2:21" ht="46.8" x14ac:dyDescent="0.3">
      <c r="B25" s="99"/>
      <c r="C25" s="93"/>
      <c r="D25" s="93"/>
      <c r="E25" s="5">
        <v>22</v>
      </c>
      <c r="F25" s="3" t="s">
        <v>32</v>
      </c>
      <c r="G25" s="80">
        <v>2.4</v>
      </c>
      <c r="H25" s="17"/>
      <c r="I25" s="17"/>
      <c r="J25" s="80">
        <v>2.4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>
        <f t="shared" si="0"/>
        <v>2.4</v>
      </c>
    </row>
    <row r="26" spans="2:21" ht="31.2" x14ac:dyDescent="0.3">
      <c r="B26" s="99"/>
      <c r="C26" s="93"/>
      <c r="D26" s="93"/>
      <c r="E26" s="5">
        <v>23</v>
      </c>
      <c r="F26" s="3" t="s">
        <v>33</v>
      </c>
      <c r="G26" s="17">
        <v>10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10</v>
      </c>
      <c r="U26" s="17">
        <f t="shared" si="0"/>
        <v>10</v>
      </c>
    </row>
    <row r="27" spans="2:21" ht="15.6" x14ac:dyDescent="0.3">
      <c r="B27" s="99"/>
      <c r="C27" s="93"/>
      <c r="D27" s="93"/>
      <c r="E27" s="5">
        <v>24</v>
      </c>
      <c r="F27" s="3" t="s">
        <v>34</v>
      </c>
      <c r="G27" s="17">
        <v>67.160000000000011</v>
      </c>
      <c r="H27" s="17">
        <f>5.8+0.35</f>
        <v>6.1499999999999995</v>
      </c>
      <c r="I27" s="17">
        <f>3.8+0.8</f>
        <v>4.5999999999999996</v>
      </c>
      <c r="J27" s="17">
        <f>5+0.65+12</f>
        <v>17.649999999999999</v>
      </c>
      <c r="K27" s="17">
        <f>0.8+0.3</f>
        <v>1.1000000000000001</v>
      </c>
      <c r="L27" s="17">
        <f>5+1.6</f>
        <v>6.6</v>
      </c>
      <c r="M27" s="17">
        <v>5.5</v>
      </c>
      <c r="N27" s="17">
        <v>1.2</v>
      </c>
      <c r="O27" s="17">
        <f>1.6+0.6</f>
        <v>2.2000000000000002</v>
      </c>
      <c r="P27" s="17">
        <f>0.8+0.9</f>
        <v>1.7000000000000002</v>
      </c>
      <c r="Q27" s="17">
        <f>0.8+0.95</f>
        <v>1.75</v>
      </c>
      <c r="R27" s="17">
        <f>1.6+0.3</f>
        <v>1.9000000000000001</v>
      </c>
      <c r="S27" s="17">
        <v>1.4</v>
      </c>
      <c r="T27" s="17">
        <v>15.41</v>
      </c>
      <c r="U27" s="17">
        <f t="shared" si="0"/>
        <v>67.160000000000011</v>
      </c>
    </row>
    <row r="28" spans="2:21" ht="15.6" x14ac:dyDescent="0.3">
      <c r="B28" s="99"/>
      <c r="C28" s="93"/>
      <c r="D28" s="93"/>
      <c r="E28" s="5">
        <v>25</v>
      </c>
      <c r="F28" s="3" t="s">
        <v>35</v>
      </c>
      <c r="G28" s="17">
        <v>8.1490000000000009</v>
      </c>
      <c r="H28" s="17">
        <v>0.56999999999999995</v>
      </c>
      <c r="I28" s="17">
        <v>0.36199999999999999</v>
      </c>
      <c r="J28" s="17">
        <v>0.56999999999999995</v>
      </c>
      <c r="K28" s="17">
        <v>0.36199999999999999</v>
      </c>
      <c r="L28" s="17">
        <v>0.67400000000000004</v>
      </c>
      <c r="M28" s="17">
        <v>0.67400000000000004</v>
      </c>
      <c r="N28" s="17"/>
      <c r="O28" s="17">
        <v>0.46600000000000003</v>
      </c>
      <c r="P28" s="17">
        <v>0.56999999999999995</v>
      </c>
      <c r="Q28" s="17">
        <v>0.88200000000000001</v>
      </c>
      <c r="R28" s="17">
        <v>0.56999999999999995</v>
      </c>
      <c r="S28" s="17">
        <v>0.67400000000000004</v>
      </c>
      <c r="T28" s="17">
        <f>1.6+0.175</f>
        <v>1.7750000000000001</v>
      </c>
      <c r="U28" s="17">
        <f t="shared" si="0"/>
        <v>8.1490000000000009</v>
      </c>
    </row>
    <row r="29" spans="2:21" ht="15.6" x14ac:dyDescent="0.3">
      <c r="B29" s="99"/>
      <c r="C29" s="93"/>
      <c r="D29" s="93"/>
      <c r="E29" s="5">
        <v>26</v>
      </c>
      <c r="F29" s="3" t="s">
        <v>36</v>
      </c>
      <c r="G29" s="17">
        <v>10.6</v>
      </c>
      <c r="H29" s="17">
        <v>0.8</v>
      </c>
      <c r="I29" s="17">
        <v>0.8</v>
      </c>
      <c r="J29" s="17">
        <v>0.8</v>
      </c>
      <c r="K29" s="17">
        <v>0.8</v>
      </c>
      <c r="L29" s="17">
        <v>0.8</v>
      </c>
      <c r="M29" s="17">
        <v>0.8</v>
      </c>
      <c r="N29" s="17">
        <v>0.8</v>
      </c>
      <c r="O29" s="17">
        <v>0.8</v>
      </c>
      <c r="P29" s="17">
        <v>0.8</v>
      </c>
      <c r="Q29" s="17">
        <v>0.8</v>
      </c>
      <c r="R29" s="17">
        <v>0.8</v>
      </c>
      <c r="S29" s="17">
        <v>0.8</v>
      </c>
      <c r="T29" s="17">
        <v>1</v>
      </c>
      <c r="U29" s="17">
        <f t="shared" si="0"/>
        <v>10.6</v>
      </c>
    </row>
    <row r="30" spans="2:21" ht="15.6" x14ac:dyDescent="0.3">
      <c r="B30" s="99"/>
      <c r="C30" s="93"/>
      <c r="D30" s="93"/>
      <c r="E30" s="5">
        <v>27</v>
      </c>
      <c r="F30" s="3" t="s">
        <v>37</v>
      </c>
      <c r="G30" s="17">
        <v>0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>
        <f t="shared" si="0"/>
        <v>0</v>
      </c>
    </row>
    <row r="31" spans="2:21" ht="31.2" x14ac:dyDescent="0.3">
      <c r="B31" s="99"/>
      <c r="C31" s="93"/>
      <c r="D31" s="93"/>
      <c r="E31" s="5">
        <v>28</v>
      </c>
      <c r="F31" s="3" t="s">
        <v>11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/>
      <c r="U31" s="17">
        <f t="shared" si="0"/>
        <v>0</v>
      </c>
    </row>
    <row r="32" spans="2:21" ht="31.2" x14ac:dyDescent="0.3">
      <c r="B32" s="99"/>
      <c r="C32" s="93"/>
      <c r="D32" s="93"/>
      <c r="E32" s="5">
        <v>29</v>
      </c>
      <c r="F32" s="3" t="s">
        <v>12</v>
      </c>
      <c r="G32" s="17">
        <v>39.999999999999993</v>
      </c>
      <c r="H32" s="17">
        <v>8.4499999999999993</v>
      </c>
      <c r="I32" s="17">
        <v>1.95</v>
      </c>
      <c r="J32" s="17">
        <v>7.15</v>
      </c>
      <c r="K32" s="17">
        <v>0.65</v>
      </c>
      <c r="L32" s="17">
        <v>4.55</v>
      </c>
      <c r="M32" s="17">
        <v>3.9</v>
      </c>
      <c r="N32" s="17">
        <v>0.65</v>
      </c>
      <c r="O32" s="17">
        <v>0.65</v>
      </c>
      <c r="P32" s="17">
        <v>2.6</v>
      </c>
      <c r="Q32" s="17">
        <v>0.65</v>
      </c>
      <c r="R32" s="17">
        <v>0.65</v>
      </c>
      <c r="S32" s="17">
        <v>0.65</v>
      </c>
      <c r="T32" s="17">
        <v>7.5</v>
      </c>
      <c r="U32" s="17">
        <f t="shared" si="0"/>
        <v>39.999999999999993</v>
      </c>
    </row>
    <row r="33" spans="2:21" ht="15.6" x14ac:dyDescent="0.3">
      <c r="B33" s="99"/>
      <c r="C33" s="93"/>
      <c r="D33" s="93"/>
      <c r="E33" s="5">
        <v>30</v>
      </c>
      <c r="F33" s="3" t="s">
        <v>38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/>
      <c r="U33" s="17">
        <f t="shared" si="0"/>
        <v>0</v>
      </c>
    </row>
    <row r="34" spans="2:21" s="40" customFormat="1" ht="31.2" x14ac:dyDescent="0.3">
      <c r="B34" s="99"/>
      <c r="C34" s="93"/>
      <c r="D34" s="93"/>
      <c r="E34" s="38">
        <v>31</v>
      </c>
      <c r="F34" s="39" t="s">
        <v>25</v>
      </c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</row>
    <row r="35" spans="2:21" ht="31.2" x14ac:dyDescent="0.3">
      <c r="B35" s="99"/>
      <c r="C35" s="93" t="s">
        <v>39</v>
      </c>
      <c r="D35" s="93" t="s">
        <v>40</v>
      </c>
      <c r="E35" s="5">
        <v>32</v>
      </c>
      <c r="F35" s="3" t="s">
        <v>41</v>
      </c>
      <c r="G35" s="80">
        <v>417.22262058568106</v>
      </c>
      <c r="H35" s="80">
        <v>40.441929982034488</v>
      </c>
      <c r="I35" s="80">
        <v>22.326663092793375</v>
      </c>
      <c r="J35" s="80">
        <v>32.24589347372055</v>
      </c>
      <c r="K35" s="80">
        <v>20.0990095008538</v>
      </c>
      <c r="L35" s="80">
        <v>35.725430880789069</v>
      </c>
      <c r="M35" s="80">
        <v>32.031395196628274</v>
      </c>
      <c r="N35" s="80">
        <v>20.911571349345266</v>
      </c>
      <c r="O35" s="80">
        <v>22.26855122915498</v>
      </c>
      <c r="P35" s="80">
        <v>31.398722913875588</v>
      </c>
      <c r="Q35" s="80">
        <v>27.936034210833888</v>
      </c>
      <c r="R35" s="80">
        <v>27.703670919936624</v>
      </c>
      <c r="S35" s="80">
        <v>30.809787835715195</v>
      </c>
      <c r="T35" s="80">
        <v>73.32396</v>
      </c>
      <c r="U35" s="17">
        <f t="shared" si="0"/>
        <v>417.22262058568106</v>
      </c>
    </row>
    <row r="36" spans="2:21" ht="15.6" x14ac:dyDescent="0.3">
      <c r="B36" s="99"/>
      <c r="C36" s="93"/>
      <c r="D36" s="93"/>
      <c r="E36" s="5">
        <v>33</v>
      </c>
      <c r="F36" s="3" t="s">
        <v>42</v>
      </c>
      <c r="G36" s="80">
        <v>37.20000000000001</v>
      </c>
      <c r="H36" s="80">
        <v>3.1</v>
      </c>
      <c r="I36" s="80">
        <v>3.1</v>
      </c>
      <c r="J36" s="80">
        <v>3.1</v>
      </c>
      <c r="K36" s="80">
        <v>3.1</v>
      </c>
      <c r="L36" s="80">
        <v>3.1</v>
      </c>
      <c r="M36" s="80">
        <v>3.1</v>
      </c>
      <c r="N36" s="80">
        <v>3.1</v>
      </c>
      <c r="O36" s="80">
        <v>3.1</v>
      </c>
      <c r="P36" s="80">
        <v>3.1</v>
      </c>
      <c r="Q36" s="80">
        <v>3.1</v>
      </c>
      <c r="R36" s="80">
        <v>3.1</v>
      </c>
      <c r="S36" s="80">
        <v>3.1</v>
      </c>
      <c r="T36" s="17">
        <v>0</v>
      </c>
      <c r="U36" s="17">
        <f t="shared" si="0"/>
        <v>37.20000000000001</v>
      </c>
    </row>
    <row r="37" spans="2:21" ht="15.6" x14ac:dyDescent="0.3">
      <c r="B37" s="99"/>
      <c r="C37" s="93"/>
      <c r="D37" s="93"/>
      <c r="E37" s="5">
        <v>34</v>
      </c>
      <c r="F37" s="3" t="s">
        <v>43</v>
      </c>
      <c r="G37" s="80">
        <v>46.46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>
        <v>46.46</v>
      </c>
      <c r="U37" s="17">
        <f t="shared" si="0"/>
        <v>46.46</v>
      </c>
    </row>
    <row r="38" spans="2:21" ht="31.2" x14ac:dyDescent="0.3">
      <c r="B38" s="99"/>
      <c r="C38" s="93" t="s">
        <v>44</v>
      </c>
      <c r="D38" s="93" t="s">
        <v>45</v>
      </c>
      <c r="E38" s="5">
        <v>35</v>
      </c>
      <c r="F38" s="3" t="s">
        <v>46</v>
      </c>
      <c r="G38" s="80">
        <v>15.451999999999998</v>
      </c>
      <c r="H38" s="80">
        <v>2.714</v>
      </c>
      <c r="I38" s="80">
        <v>0.82199999999999995</v>
      </c>
      <c r="J38" s="80">
        <v>1.83</v>
      </c>
      <c r="K38" s="80">
        <v>0.82199999999999995</v>
      </c>
      <c r="L38" s="80">
        <v>1.1579999999999999</v>
      </c>
      <c r="M38" s="80">
        <v>1.494</v>
      </c>
      <c r="N38" s="80">
        <v>0.48599999999999999</v>
      </c>
      <c r="O38" s="80">
        <v>0.82199999999999995</v>
      </c>
      <c r="P38" s="80">
        <v>1.494</v>
      </c>
      <c r="Q38" s="80">
        <v>0.82199999999999995</v>
      </c>
      <c r="R38" s="80">
        <v>1.83</v>
      </c>
      <c r="S38" s="80">
        <v>1.1579999999999999</v>
      </c>
      <c r="T38" s="80">
        <v>0</v>
      </c>
      <c r="U38" s="17">
        <f t="shared" si="0"/>
        <v>15.451999999999998</v>
      </c>
    </row>
    <row r="39" spans="2:21" ht="31.2" x14ac:dyDescent="0.3">
      <c r="B39" s="99"/>
      <c r="C39" s="94"/>
      <c r="D39" s="94"/>
      <c r="E39" s="5">
        <v>36</v>
      </c>
      <c r="F39" s="3" t="s">
        <v>47</v>
      </c>
      <c r="G39" s="17">
        <v>38.409999999999997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80">
        <v>38.409999999999997</v>
      </c>
      <c r="U39" s="17">
        <f t="shared" si="0"/>
        <v>38.409999999999997</v>
      </c>
    </row>
    <row r="40" spans="2:21" ht="15.6" x14ac:dyDescent="0.3">
      <c r="B40" s="99"/>
      <c r="C40" s="94"/>
      <c r="D40" s="94"/>
      <c r="E40" s="5">
        <v>37</v>
      </c>
      <c r="F40" s="3" t="s">
        <v>48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f t="shared" si="0"/>
        <v>0</v>
      </c>
    </row>
    <row r="41" spans="2:21" ht="15.6" x14ac:dyDescent="0.3">
      <c r="B41" s="99"/>
      <c r="C41" s="94"/>
      <c r="D41" s="94"/>
      <c r="E41" s="5">
        <v>38</v>
      </c>
      <c r="F41" s="3" t="s">
        <v>49</v>
      </c>
      <c r="G41" s="17">
        <v>21.97</v>
      </c>
      <c r="H41" s="17">
        <v>2.5</v>
      </c>
      <c r="I41" s="17">
        <v>2</v>
      </c>
      <c r="J41" s="17">
        <v>3.8</v>
      </c>
      <c r="K41" s="17">
        <v>0.5</v>
      </c>
      <c r="L41" s="15">
        <v>2</v>
      </c>
      <c r="M41" s="17">
        <v>3.5</v>
      </c>
      <c r="N41" s="17">
        <v>0.77</v>
      </c>
      <c r="O41" s="17">
        <v>0.6</v>
      </c>
      <c r="P41" s="17">
        <v>1.3</v>
      </c>
      <c r="Q41" s="17">
        <v>2</v>
      </c>
      <c r="R41" s="17">
        <v>2</v>
      </c>
      <c r="S41" s="17">
        <v>1</v>
      </c>
      <c r="T41" s="17">
        <v>0</v>
      </c>
      <c r="U41" s="17">
        <f t="shared" si="0"/>
        <v>21.97</v>
      </c>
    </row>
    <row r="42" spans="2:21" ht="31.2" x14ac:dyDescent="0.3">
      <c r="B42" s="99"/>
      <c r="C42" s="94"/>
      <c r="D42" s="94"/>
      <c r="E42" s="5">
        <v>39</v>
      </c>
      <c r="F42" s="3" t="s">
        <v>50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/>
      <c r="U42" s="17">
        <f t="shared" si="0"/>
        <v>0</v>
      </c>
    </row>
    <row r="43" spans="2:21" ht="19.5" customHeight="1" x14ac:dyDescent="0.3">
      <c r="B43" s="99"/>
      <c r="C43" s="94"/>
      <c r="D43" s="94"/>
      <c r="E43" s="5">
        <v>40</v>
      </c>
      <c r="F43" s="3" t="s">
        <v>51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/>
      <c r="U43" s="17">
        <f t="shared" si="0"/>
        <v>0</v>
      </c>
    </row>
    <row r="44" spans="2:21" s="40" customFormat="1" ht="31.2" x14ac:dyDescent="0.3">
      <c r="B44" s="99"/>
      <c r="C44" s="94"/>
      <c r="D44" s="94"/>
      <c r="E44" s="38">
        <v>41</v>
      </c>
      <c r="F44" s="39" t="s">
        <v>25</v>
      </c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</row>
    <row r="45" spans="2:21" ht="15.6" x14ac:dyDescent="0.3">
      <c r="B45" s="99"/>
      <c r="C45" s="93" t="s">
        <v>52</v>
      </c>
      <c r="D45" s="93" t="s">
        <v>53</v>
      </c>
      <c r="E45" s="5">
        <v>42</v>
      </c>
      <c r="F45" s="3" t="s">
        <v>54</v>
      </c>
      <c r="G45" s="72">
        <v>133.56</v>
      </c>
      <c r="H45" s="46">
        <v>28.19</v>
      </c>
      <c r="I45" s="46">
        <v>5.76</v>
      </c>
      <c r="J45" s="46">
        <v>11.62</v>
      </c>
      <c r="K45" s="46">
        <v>2.2999999999999998</v>
      </c>
      <c r="L45" s="46">
        <v>12.32</v>
      </c>
      <c r="M45" s="46">
        <v>7.62</v>
      </c>
      <c r="N45" s="46">
        <v>4.17</v>
      </c>
      <c r="O45" s="46">
        <v>5.09</v>
      </c>
      <c r="P45" s="46">
        <v>8.0399999999999991</v>
      </c>
      <c r="Q45" s="46">
        <v>7.73</v>
      </c>
      <c r="R45" s="46">
        <v>9.83</v>
      </c>
      <c r="S45" s="46">
        <v>6.39</v>
      </c>
      <c r="T45" s="46">
        <v>24.5</v>
      </c>
      <c r="U45" s="17">
        <f t="shared" si="0"/>
        <v>133.56</v>
      </c>
    </row>
    <row r="46" spans="2:21" ht="15.6" x14ac:dyDescent="0.3">
      <c r="B46" s="99"/>
      <c r="C46" s="93"/>
      <c r="D46" s="93"/>
      <c r="E46" s="5">
        <v>43</v>
      </c>
      <c r="F46" s="3" t="s">
        <v>55</v>
      </c>
      <c r="G46" s="46">
        <v>1.9600000000000009</v>
      </c>
      <c r="H46" s="46">
        <v>0.28000000000000003</v>
      </c>
      <c r="I46" s="46">
        <v>0.14000000000000001</v>
      </c>
      <c r="J46" s="46">
        <v>0.28000000000000003</v>
      </c>
      <c r="K46" s="46">
        <v>0.14000000000000001</v>
      </c>
      <c r="L46" s="46">
        <v>0.14000000000000001</v>
      </c>
      <c r="M46" s="46">
        <v>0.14000000000000001</v>
      </c>
      <c r="N46" s="46">
        <v>0.14000000000000001</v>
      </c>
      <c r="O46" s="46">
        <v>0.14000000000000001</v>
      </c>
      <c r="P46" s="46">
        <v>0.14000000000000001</v>
      </c>
      <c r="Q46" s="46">
        <v>0.14000000000000001</v>
      </c>
      <c r="R46" s="46">
        <v>0.14000000000000001</v>
      </c>
      <c r="S46" s="46">
        <v>0.14000000000000001</v>
      </c>
      <c r="T46" s="46">
        <v>0</v>
      </c>
      <c r="U46" s="17">
        <f t="shared" si="0"/>
        <v>1.9600000000000009</v>
      </c>
    </row>
    <row r="47" spans="2:21" ht="31.2" x14ac:dyDescent="0.3">
      <c r="B47" s="99"/>
      <c r="C47" s="93"/>
      <c r="D47" s="93"/>
      <c r="E47" s="5">
        <v>44</v>
      </c>
      <c r="F47" s="3" t="s">
        <v>56</v>
      </c>
      <c r="G47" s="72">
        <v>5.5699999999999994</v>
      </c>
      <c r="H47" s="46">
        <v>0.54</v>
      </c>
      <c r="I47" s="46">
        <v>0.39</v>
      </c>
      <c r="J47" s="46">
        <v>0.51</v>
      </c>
      <c r="K47" s="46">
        <v>0.2</v>
      </c>
      <c r="L47" s="46">
        <v>0.75</v>
      </c>
      <c r="M47" s="46">
        <v>0.5</v>
      </c>
      <c r="N47" s="46">
        <v>0.3</v>
      </c>
      <c r="O47" s="46">
        <v>0.37</v>
      </c>
      <c r="P47" s="46">
        <v>0.51</v>
      </c>
      <c r="Q47" s="46">
        <v>0.49</v>
      </c>
      <c r="R47" s="46">
        <v>0.59</v>
      </c>
      <c r="S47" s="46">
        <v>0.42</v>
      </c>
      <c r="T47" s="46">
        <v>0</v>
      </c>
      <c r="U47" s="17">
        <f t="shared" si="0"/>
        <v>5.5699999999999994</v>
      </c>
    </row>
    <row r="48" spans="2:21" ht="15.6" x14ac:dyDescent="0.3">
      <c r="B48" s="99"/>
      <c r="C48" s="93"/>
      <c r="D48" s="93"/>
      <c r="E48" s="5">
        <v>45</v>
      </c>
      <c r="F48" s="3" t="s">
        <v>57</v>
      </c>
      <c r="G48" s="72">
        <v>1.25</v>
      </c>
      <c r="H48" s="46">
        <v>0.13</v>
      </c>
      <c r="I48" s="46">
        <v>0.08</v>
      </c>
      <c r="J48" s="46">
        <v>0.19</v>
      </c>
      <c r="K48" s="46">
        <v>0.02</v>
      </c>
      <c r="L48" s="46">
        <v>0.11</v>
      </c>
      <c r="M48" s="46">
        <v>0.11</v>
      </c>
      <c r="N48" s="46">
        <v>0.05</v>
      </c>
      <c r="O48" s="46">
        <v>0.08</v>
      </c>
      <c r="P48" s="46">
        <v>0.12</v>
      </c>
      <c r="Q48" s="46">
        <v>0.12</v>
      </c>
      <c r="R48" s="46">
        <v>0.15</v>
      </c>
      <c r="S48" s="46">
        <v>0.09</v>
      </c>
      <c r="T48" s="46">
        <v>0</v>
      </c>
      <c r="U48" s="17">
        <f t="shared" si="0"/>
        <v>1.25</v>
      </c>
    </row>
    <row r="49" spans="2:21" ht="15.6" x14ac:dyDescent="0.3">
      <c r="B49" s="99"/>
      <c r="C49" s="93"/>
      <c r="D49" s="93"/>
      <c r="E49" s="5">
        <v>46</v>
      </c>
      <c r="F49" s="3" t="s">
        <v>58</v>
      </c>
      <c r="G49" s="73">
        <v>39.880000000000003</v>
      </c>
      <c r="H49" s="72">
        <v>2.25</v>
      </c>
      <c r="I49" s="72">
        <v>2.25</v>
      </c>
      <c r="J49" s="72">
        <v>2.25</v>
      </c>
      <c r="K49" s="72">
        <v>2.25</v>
      </c>
      <c r="L49" s="72">
        <v>2.25</v>
      </c>
      <c r="M49" s="72">
        <v>2.25</v>
      </c>
      <c r="N49" s="72">
        <v>2.25</v>
      </c>
      <c r="O49" s="72">
        <v>2.25</v>
      </c>
      <c r="P49" s="72">
        <v>2.25</v>
      </c>
      <c r="Q49" s="72">
        <v>2.25</v>
      </c>
      <c r="R49" s="72">
        <v>2.25</v>
      </c>
      <c r="S49" s="72">
        <v>2.25</v>
      </c>
      <c r="T49" s="72">
        <v>12.88</v>
      </c>
      <c r="U49" s="17">
        <f t="shared" si="0"/>
        <v>39.880000000000003</v>
      </c>
    </row>
    <row r="50" spans="2:21" ht="15.6" x14ac:dyDescent="0.3">
      <c r="B50" s="99"/>
      <c r="C50" s="93"/>
      <c r="D50" s="93"/>
      <c r="E50" s="5">
        <v>47</v>
      </c>
      <c r="F50" s="3" t="s">
        <v>59</v>
      </c>
      <c r="G50" s="46">
        <v>5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5</v>
      </c>
      <c r="U50" s="17">
        <f t="shared" si="0"/>
        <v>5</v>
      </c>
    </row>
    <row r="51" spans="2:21" ht="15.6" x14ac:dyDescent="0.3">
      <c r="B51" s="99"/>
      <c r="C51" s="93"/>
      <c r="D51" s="93"/>
      <c r="E51" s="5">
        <v>48</v>
      </c>
      <c r="F51" s="3" t="s">
        <v>60</v>
      </c>
      <c r="G51" s="46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46"/>
      <c r="U51" s="17">
        <f t="shared" si="0"/>
        <v>0</v>
      </c>
    </row>
    <row r="52" spans="2:21" ht="31.2" x14ac:dyDescent="0.3">
      <c r="B52" s="99"/>
      <c r="C52" s="93"/>
      <c r="D52" s="93"/>
      <c r="E52" s="5">
        <v>49</v>
      </c>
      <c r="F52" s="3" t="s">
        <v>61</v>
      </c>
      <c r="G52" s="46">
        <v>16.979999999999997</v>
      </c>
      <c r="H52" s="46">
        <v>1.25</v>
      </c>
      <c r="I52" s="46">
        <v>1.05</v>
      </c>
      <c r="J52" s="46">
        <v>1.25</v>
      </c>
      <c r="K52" s="46">
        <v>1.05</v>
      </c>
      <c r="L52" s="46">
        <v>1.35</v>
      </c>
      <c r="M52" s="46">
        <v>1.35</v>
      </c>
      <c r="N52" s="46">
        <v>0.95</v>
      </c>
      <c r="O52" s="46">
        <v>1.1499999999999999</v>
      </c>
      <c r="P52" s="46">
        <v>1.25</v>
      </c>
      <c r="Q52" s="46">
        <v>1.35</v>
      </c>
      <c r="R52" s="46">
        <v>1.25</v>
      </c>
      <c r="S52" s="46">
        <v>1.35</v>
      </c>
      <c r="T52" s="46">
        <v>2.38</v>
      </c>
      <c r="U52" s="17">
        <f t="shared" si="0"/>
        <v>16.979999999999997</v>
      </c>
    </row>
    <row r="53" spans="2:21" ht="15.6" x14ac:dyDescent="0.3">
      <c r="B53" s="99"/>
      <c r="C53" s="93"/>
      <c r="D53" s="93"/>
      <c r="E53" s="5">
        <v>50</v>
      </c>
      <c r="F53" s="3" t="s">
        <v>62</v>
      </c>
      <c r="G53" s="72">
        <v>23.700000000000003</v>
      </c>
      <c r="H53" s="72">
        <v>0.82</v>
      </c>
      <c r="I53" s="72">
        <v>0.82</v>
      </c>
      <c r="J53" s="72">
        <v>0.82</v>
      </c>
      <c r="K53" s="72">
        <v>0.82</v>
      </c>
      <c r="L53" s="72">
        <v>0.82</v>
      </c>
      <c r="M53" s="72">
        <v>0.82</v>
      </c>
      <c r="N53" s="72">
        <v>0.82</v>
      </c>
      <c r="O53" s="72">
        <v>0.82</v>
      </c>
      <c r="P53" s="72">
        <v>0.82</v>
      </c>
      <c r="Q53" s="72">
        <v>0.82</v>
      </c>
      <c r="R53" s="72">
        <v>0.82</v>
      </c>
      <c r="S53" s="72">
        <v>0.82</v>
      </c>
      <c r="T53" s="72">
        <v>13.86</v>
      </c>
      <c r="U53" s="17">
        <f t="shared" si="0"/>
        <v>23.700000000000003</v>
      </c>
    </row>
    <row r="54" spans="2:21" s="40" customFormat="1" ht="31.2" x14ac:dyDescent="0.3">
      <c r="B54" s="99"/>
      <c r="C54" s="93"/>
      <c r="D54" s="93"/>
      <c r="E54" s="38">
        <v>51</v>
      </c>
      <c r="F54" s="39" t="s">
        <v>25</v>
      </c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</row>
    <row r="55" spans="2:21" ht="15.6" x14ac:dyDescent="0.3">
      <c r="B55" s="99"/>
      <c r="C55" s="93" t="s">
        <v>63</v>
      </c>
      <c r="D55" s="93" t="s">
        <v>64</v>
      </c>
      <c r="E55" s="5">
        <v>52</v>
      </c>
      <c r="F55" s="3" t="s">
        <v>65</v>
      </c>
      <c r="G55" s="17">
        <v>151.46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f>54+19.45+53.99+4+20.02</f>
        <v>151.46</v>
      </c>
      <c r="U55" s="17">
        <f t="shared" si="0"/>
        <v>151.46</v>
      </c>
    </row>
    <row r="56" spans="2:21" ht="15.6" x14ac:dyDescent="0.3">
      <c r="B56" s="99"/>
      <c r="C56" s="94"/>
      <c r="D56" s="94"/>
      <c r="E56" s="5">
        <v>53</v>
      </c>
      <c r="F56" s="3" t="s">
        <v>66</v>
      </c>
      <c r="G56" s="17">
        <v>112.28</v>
      </c>
      <c r="H56" s="17">
        <v>2.4</v>
      </c>
      <c r="I56" s="17">
        <v>1.6</v>
      </c>
      <c r="J56" s="17">
        <v>2.4</v>
      </c>
      <c r="K56" s="17">
        <v>1.6</v>
      </c>
      <c r="L56" s="17">
        <v>2.8</v>
      </c>
      <c r="M56" s="17">
        <v>2.8</v>
      </c>
      <c r="N56" s="17">
        <v>1.2</v>
      </c>
      <c r="O56" s="17">
        <v>2</v>
      </c>
      <c r="P56" s="17">
        <v>2.4</v>
      </c>
      <c r="Q56" s="17">
        <v>2.8</v>
      </c>
      <c r="R56" s="17">
        <v>2.4</v>
      </c>
      <c r="S56" s="17">
        <v>2.8</v>
      </c>
      <c r="T56" s="17">
        <f>84.28+0.8</f>
        <v>85.08</v>
      </c>
      <c r="U56" s="17">
        <f t="shared" si="0"/>
        <v>112.28</v>
      </c>
    </row>
    <row r="57" spans="2:21" ht="31.2" x14ac:dyDescent="0.3">
      <c r="B57" s="99"/>
      <c r="C57" s="94"/>
      <c r="D57" s="94"/>
      <c r="E57" s="5">
        <v>54</v>
      </c>
      <c r="F57" s="3" t="s">
        <v>67</v>
      </c>
      <c r="G57" s="17">
        <v>2.4</v>
      </c>
      <c r="H57" s="17">
        <v>0</v>
      </c>
      <c r="I57" s="17">
        <v>0</v>
      </c>
      <c r="J57" s="17">
        <v>2.4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f t="shared" si="0"/>
        <v>2.4</v>
      </c>
    </row>
    <row r="58" spans="2:21" ht="15.6" x14ac:dyDescent="0.3">
      <c r="B58" s="99"/>
      <c r="C58" s="94"/>
      <c r="D58" s="94"/>
      <c r="E58" s="5">
        <v>55</v>
      </c>
      <c r="F58" s="3" t="s">
        <v>68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f t="shared" si="0"/>
        <v>0</v>
      </c>
    </row>
    <row r="59" spans="2:21" ht="15.6" x14ac:dyDescent="0.3">
      <c r="B59" s="99"/>
      <c r="C59" s="94"/>
      <c r="D59" s="94"/>
      <c r="E59" s="5">
        <v>56</v>
      </c>
      <c r="F59" s="3" t="s">
        <v>69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f t="shared" si="0"/>
        <v>0</v>
      </c>
    </row>
    <row r="60" spans="2:21" ht="15.6" x14ac:dyDescent="0.3">
      <c r="B60" s="99"/>
      <c r="C60" s="94"/>
      <c r="D60" s="94"/>
      <c r="E60" s="5">
        <v>57</v>
      </c>
      <c r="F60" s="3" t="s">
        <v>70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f t="shared" si="0"/>
        <v>0</v>
      </c>
    </row>
    <row r="61" spans="2:21" ht="31.2" x14ac:dyDescent="0.3">
      <c r="B61" s="99"/>
      <c r="C61" s="94"/>
      <c r="D61" s="94"/>
      <c r="E61" s="5">
        <v>58</v>
      </c>
      <c r="F61" s="3" t="s">
        <v>71</v>
      </c>
      <c r="G61" s="17">
        <v>63.800000000000004</v>
      </c>
      <c r="H61" s="17">
        <v>0.9</v>
      </c>
      <c r="I61" s="17">
        <v>0.9</v>
      </c>
      <c r="J61" s="17">
        <v>0.9</v>
      </c>
      <c r="K61" s="17">
        <v>0.9</v>
      </c>
      <c r="L61" s="17">
        <v>0.9</v>
      </c>
      <c r="M61" s="17">
        <v>0.9</v>
      </c>
      <c r="N61" s="17">
        <v>0.9</v>
      </c>
      <c r="O61" s="17">
        <v>0.9</v>
      </c>
      <c r="P61" s="17">
        <v>0.9</v>
      </c>
      <c r="Q61" s="17">
        <v>0.9</v>
      </c>
      <c r="R61" s="17">
        <v>0.9</v>
      </c>
      <c r="S61" s="17">
        <v>0.9</v>
      </c>
      <c r="T61" s="17">
        <f>21+30+2</f>
        <v>53</v>
      </c>
      <c r="U61" s="17">
        <f t="shared" si="0"/>
        <v>63.800000000000004</v>
      </c>
    </row>
    <row r="62" spans="2:21" ht="15.6" x14ac:dyDescent="0.3">
      <c r="B62" s="99"/>
      <c r="C62" s="94"/>
      <c r="D62" s="94"/>
      <c r="E62" s="5">
        <v>59</v>
      </c>
      <c r="F62" s="3" t="s">
        <v>72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/>
      <c r="U62" s="17">
        <f t="shared" si="0"/>
        <v>0</v>
      </c>
    </row>
    <row r="63" spans="2:21" ht="15.6" x14ac:dyDescent="0.3">
      <c r="B63" s="99"/>
      <c r="C63" s="94"/>
      <c r="D63" s="94"/>
      <c r="E63" s="5">
        <v>60</v>
      </c>
      <c r="F63" s="3" t="s">
        <v>73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/>
      <c r="U63" s="17">
        <f t="shared" si="0"/>
        <v>0</v>
      </c>
    </row>
    <row r="64" spans="2:21" s="40" customFormat="1" ht="31.2" x14ac:dyDescent="0.3">
      <c r="B64" s="99"/>
      <c r="C64" s="94"/>
      <c r="D64" s="94"/>
      <c r="E64" s="38">
        <v>61</v>
      </c>
      <c r="F64" s="39" t="s">
        <v>25</v>
      </c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</row>
    <row r="65" spans="2:21" ht="95.25" customHeight="1" x14ac:dyDescent="0.3">
      <c r="B65" s="99"/>
      <c r="C65" s="5" t="s">
        <v>74</v>
      </c>
      <c r="D65" s="7" t="s">
        <v>75</v>
      </c>
      <c r="E65" s="5">
        <v>62</v>
      </c>
      <c r="F65" s="3" t="s">
        <v>76</v>
      </c>
      <c r="G65" s="17">
        <v>10.130000000000001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10.130000000000001</v>
      </c>
      <c r="U65" s="17">
        <f t="shared" si="0"/>
        <v>10.130000000000001</v>
      </c>
    </row>
    <row r="66" spans="2:21" s="25" customFormat="1" ht="15.6" x14ac:dyDescent="0.3">
      <c r="B66" s="100"/>
      <c r="C66" s="97" t="s">
        <v>77</v>
      </c>
      <c r="D66" s="97"/>
      <c r="E66" s="97"/>
      <c r="F66" s="24"/>
      <c r="G66" s="70">
        <f>SUM(G4:G65)</f>
        <v>2217.6436205856821</v>
      </c>
      <c r="H66" s="70">
        <f t="shared" ref="H66:T66" si="1">SUM(H4:H65)</f>
        <v>190.87592998203445</v>
      </c>
      <c r="I66" s="70">
        <f t="shared" si="1"/>
        <v>86.170663092793362</v>
      </c>
      <c r="J66" s="70">
        <f t="shared" si="1"/>
        <v>157.14589347372058</v>
      </c>
      <c r="K66" s="70">
        <f t="shared" si="1"/>
        <v>67.083009500853791</v>
      </c>
      <c r="L66" s="70">
        <f t="shared" si="1"/>
        <v>145.16743088078908</v>
      </c>
      <c r="M66" s="70">
        <f t="shared" si="1"/>
        <v>118.83939519662825</v>
      </c>
      <c r="N66" s="70">
        <f t="shared" si="1"/>
        <v>70.127571349345274</v>
      </c>
      <c r="O66" s="70">
        <f t="shared" si="1"/>
        <v>81.006551229154979</v>
      </c>
      <c r="P66" s="70">
        <f t="shared" si="1"/>
        <v>109.5327229138756</v>
      </c>
      <c r="Q66" s="70">
        <f t="shared" si="1"/>
        <v>112.22003421083387</v>
      </c>
      <c r="R66" s="70">
        <f t="shared" si="1"/>
        <v>109.98367091993663</v>
      </c>
      <c r="S66" s="70">
        <f t="shared" si="1"/>
        <v>107.62178783571518</v>
      </c>
      <c r="T66" s="70">
        <f t="shared" si="1"/>
        <v>861.86896000000013</v>
      </c>
      <c r="U66" s="70">
        <f t="shared" si="0"/>
        <v>2217.6436205856812</v>
      </c>
    </row>
    <row r="67" spans="2:21" ht="79.5" customHeight="1" x14ac:dyDescent="0.3">
      <c r="B67" s="98" t="s">
        <v>78</v>
      </c>
      <c r="C67" s="5" t="s">
        <v>79</v>
      </c>
      <c r="D67" s="5" t="s">
        <v>80</v>
      </c>
      <c r="E67" s="5">
        <v>63</v>
      </c>
      <c r="F67" s="3" t="s">
        <v>81</v>
      </c>
      <c r="G67" s="17">
        <v>89.5</v>
      </c>
      <c r="H67" s="17">
        <f>2+2.5+1</f>
        <v>5.5</v>
      </c>
      <c r="I67" s="17">
        <f>2+2.5</f>
        <v>4.5</v>
      </c>
      <c r="J67" s="17">
        <f>2+2.5</f>
        <v>4.5</v>
      </c>
      <c r="K67" s="17">
        <f>2+2.5</f>
        <v>4.5</v>
      </c>
      <c r="L67" s="17">
        <f>2+2.5+1</f>
        <v>5.5</v>
      </c>
      <c r="M67" s="17">
        <f>2+2.5</f>
        <v>4.5</v>
      </c>
      <c r="N67" s="17">
        <f>2+2.5</f>
        <v>4.5</v>
      </c>
      <c r="O67" s="17">
        <f>2+2.5</f>
        <v>4.5</v>
      </c>
      <c r="P67" s="17">
        <f t="shared" ref="P67:S67" si="2">2+2.5+1</f>
        <v>5.5</v>
      </c>
      <c r="Q67" s="17">
        <f t="shared" si="2"/>
        <v>5.5</v>
      </c>
      <c r="R67" s="17">
        <f>2+2.5</f>
        <v>4.5</v>
      </c>
      <c r="S67" s="17">
        <f t="shared" si="2"/>
        <v>5.5</v>
      </c>
      <c r="T67" s="17">
        <f>3+1.8+1.2+24.5</f>
        <v>30.5</v>
      </c>
      <c r="U67" s="17">
        <f t="shared" si="0"/>
        <v>89.5</v>
      </c>
    </row>
    <row r="68" spans="2:21" ht="15.6" x14ac:dyDescent="0.3">
      <c r="B68" s="99"/>
      <c r="C68" s="93" t="s">
        <v>82</v>
      </c>
      <c r="D68" s="93" t="s">
        <v>83</v>
      </c>
      <c r="E68" s="5">
        <v>64</v>
      </c>
      <c r="F68" s="3" t="s">
        <v>84</v>
      </c>
      <c r="G68" s="80">
        <v>1124.1399999999999</v>
      </c>
      <c r="H68" s="80">
        <v>2.0299999999999998</v>
      </c>
      <c r="I68" s="80">
        <v>2.78</v>
      </c>
      <c r="J68" s="80">
        <v>1.31</v>
      </c>
      <c r="K68" s="80">
        <v>1.0900000000000001</v>
      </c>
      <c r="L68" s="80">
        <v>2.93</v>
      </c>
      <c r="M68" s="80">
        <v>3.59</v>
      </c>
      <c r="N68" s="80">
        <v>0</v>
      </c>
      <c r="O68" s="80">
        <v>1.1200000000000001</v>
      </c>
      <c r="P68" s="80">
        <v>2.87</v>
      </c>
      <c r="Q68" s="80">
        <v>2.67</v>
      </c>
      <c r="R68" s="80">
        <v>1.24</v>
      </c>
      <c r="S68" s="80">
        <v>1.21</v>
      </c>
      <c r="T68" s="80">
        <v>1101.3</v>
      </c>
      <c r="U68" s="17">
        <f t="shared" si="0"/>
        <v>1124.1399999999999</v>
      </c>
    </row>
    <row r="69" spans="2:21" ht="15.6" x14ac:dyDescent="0.3">
      <c r="B69" s="99"/>
      <c r="C69" s="94"/>
      <c r="D69" s="94"/>
      <c r="E69" s="5">
        <v>65</v>
      </c>
      <c r="F69" s="3" t="s">
        <v>85</v>
      </c>
      <c r="G69" s="81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  <c r="T69" s="80">
        <v>0</v>
      </c>
      <c r="U69" s="17">
        <f t="shared" ref="U69:U91" si="3">SUM(H69:T69)</f>
        <v>0</v>
      </c>
    </row>
    <row r="70" spans="2:21" ht="15.6" x14ac:dyDescent="0.3">
      <c r="B70" s="99"/>
      <c r="C70" s="94"/>
      <c r="D70" s="94"/>
      <c r="E70" s="5">
        <v>66</v>
      </c>
      <c r="F70" s="3" t="s">
        <v>86</v>
      </c>
      <c r="G70" s="80">
        <v>24.98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24.98</v>
      </c>
      <c r="U70" s="17">
        <f t="shared" si="3"/>
        <v>24.98</v>
      </c>
    </row>
    <row r="71" spans="2:21" ht="15.6" x14ac:dyDescent="0.3">
      <c r="B71" s="99"/>
      <c r="C71" s="94"/>
      <c r="D71" s="94"/>
      <c r="E71" s="5">
        <v>67</v>
      </c>
      <c r="F71" s="3" t="s">
        <v>87</v>
      </c>
      <c r="G71" s="80">
        <v>71.92</v>
      </c>
      <c r="H71" s="80">
        <v>1</v>
      </c>
      <c r="I71" s="80">
        <v>1</v>
      </c>
      <c r="J71" s="80">
        <v>1</v>
      </c>
      <c r="K71" s="80"/>
      <c r="L71" s="80">
        <v>1</v>
      </c>
      <c r="M71" s="80">
        <v>1</v>
      </c>
      <c r="N71" s="80">
        <v>0</v>
      </c>
      <c r="O71" s="80">
        <v>0</v>
      </c>
      <c r="P71" s="80">
        <v>0</v>
      </c>
      <c r="Q71" s="80"/>
      <c r="R71" s="80">
        <v>1</v>
      </c>
      <c r="S71" s="80"/>
      <c r="T71" s="80">
        <v>65.92</v>
      </c>
      <c r="U71" s="17">
        <f t="shared" si="3"/>
        <v>71.92</v>
      </c>
    </row>
    <row r="72" spans="2:21" ht="15.6" x14ac:dyDescent="0.3">
      <c r="B72" s="99"/>
      <c r="C72" s="94"/>
      <c r="D72" s="94"/>
      <c r="E72" s="5">
        <v>68</v>
      </c>
      <c r="F72" s="3" t="s">
        <v>88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/>
      <c r="U72" s="17">
        <f t="shared" si="3"/>
        <v>0</v>
      </c>
    </row>
    <row r="73" spans="2:21" ht="15.6" x14ac:dyDescent="0.3">
      <c r="B73" s="99"/>
      <c r="C73" s="93" t="s">
        <v>89</v>
      </c>
      <c r="D73" s="93" t="s">
        <v>90</v>
      </c>
      <c r="E73" s="5">
        <v>69</v>
      </c>
      <c r="F73" s="3" t="s">
        <v>91</v>
      </c>
      <c r="G73" s="17">
        <v>47.26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47.26</v>
      </c>
      <c r="U73" s="17">
        <f t="shared" si="3"/>
        <v>47.26</v>
      </c>
    </row>
    <row r="74" spans="2:21" ht="31.2" x14ac:dyDescent="0.3">
      <c r="B74" s="99"/>
      <c r="C74" s="93"/>
      <c r="D74" s="93"/>
      <c r="E74" s="5">
        <v>70</v>
      </c>
      <c r="F74" s="3" t="s">
        <v>92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/>
      <c r="U74" s="17">
        <f t="shared" si="3"/>
        <v>0</v>
      </c>
    </row>
    <row r="75" spans="2:21" ht="15.6" x14ac:dyDescent="0.3">
      <c r="B75" s="99"/>
      <c r="C75" s="93"/>
      <c r="D75" s="93"/>
      <c r="E75" s="5">
        <v>71</v>
      </c>
      <c r="F75" s="3" t="s">
        <v>93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/>
      <c r="U75" s="17">
        <f t="shared" si="3"/>
        <v>0</v>
      </c>
    </row>
    <row r="76" spans="2:21" ht="15.6" x14ac:dyDescent="0.3">
      <c r="B76" s="99"/>
      <c r="C76" s="93"/>
      <c r="D76" s="93"/>
      <c r="E76" s="5">
        <v>72</v>
      </c>
      <c r="F76" s="3" t="s">
        <v>94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/>
      <c r="U76" s="17">
        <f t="shared" si="3"/>
        <v>0</v>
      </c>
    </row>
    <row r="77" spans="2:21" ht="15.6" x14ac:dyDescent="0.3">
      <c r="B77" s="99"/>
      <c r="C77" s="101" t="s">
        <v>95</v>
      </c>
      <c r="D77" s="93" t="s">
        <v>96</v>
      </c>
      <c r="E77" s="5">
        <v>73</v>
      </c>
      <c r="F77" s="3" t="s">
        <v>97</v>
      </c>
      <c r="G77" s="17">
        <v>556.30000000000007</v>
      </c>
      <c r="H77" s="17">
        <v>3.6</v>
      </c>
      <c r="I77" s="17">
        <v>2</v>
      </c>
      <c r="J77" s="17">
        <v>3</v>
      </c>
      <c r="K77" s="17">
        <v>1.5</v>
      </c>
      <c r="L77" s="17">
        <v>3</v>
      </c>
      <c r="M77" s="17">
        <v>3</v>
      </c>
      <c r="N77" s="17">
        <v>1</v>
      </c>
      <c r="O77" s="17">
        <v>1.5</v>
      </c>
      <c r="P77" s="17">
        <v>3</v>
      </c>
      <c r="Q77" s="17">
        <v>3</v>
      </c>
      <c r="R77" s="17">
        <v>2.5</v>
      </c>
      <c r="S77" s="17">
        <v>3.1</v>
      </c>
      <c r="T77" s="17">
        <v>526.1</v>
      </c>
      <c r="U77" s="17">
        <f t="shared" si="3"/>
        <v>556.30000000000007</v>
      </c>
    </row>
    <row r="78" spans="2:21" ht="15.6" x14ac:dyDescent="0.3">
      <c r="B78" s="99"/>
      <c r="C78" s="101"/>
      <c r="D78" s="93"/>
      <c r="E78" s="5">
        <v>74</v>
      </c>
      <c r="F78" s="3" t="s">
        <v>98</v>
      </c>
      <c r="G78" s="17">
        <v>384</v>
      </c>
      <c r="H78" s="17">
        <v>158</v>
      </c>
      <c r="I78" s="17">
        <v>18</v>
      </c>
      <c r="J78" s="17">
        <v>30</v>
      </c>
      <c r="K78" s="17">
        <v>18</v>
      </c>
      <c r="L78" s="17">
        <v>30</v>
      </c>
      <c r="M78" s="17">
        <v>30</v>
      </c>
      <c r="N78" s="17">
        <v>10</v>
      </c>
      <c r="O78" s="17">
        <v>10</v>
      </c>
      <c r="P78" s="17">
        <v>20</v>
      </c>
      <c r="Q78" s="17">
        <v>20</v>
      </c>
      <c r="R78" s="17">
        <v>20</v>
      </c>
      <c r="S78" s="17">
        <v>20</v>
      </c>
      <c r="T78" s="17">
        <v>0</v>
      </c>
      <c r="U78" s="17">
        <f t="shared" si="3"/>
        <v>384</v>
      </c>
    </row>
    <row r="79" spans="2:21" ht="15.6" x14ac:dyDescent="0.3">
      <c r="B79" s="99"/>
      <c r="C79" s="101"/>
      <c r="D79" s="93"/>
      <c r="E79" s="5">
        <v>75</v>
      </c>
      <c r="F79" s="3" t="s">
        <v>99</v>
      </c>
      <c r="G79" s="17">
        <v>101.45</v>
      </c>
      <c r="H79" s="17">
        <v>20</v>
      </c>
      <c r="I79" s="17">
        <v>2</v>
      </c>
      <c r="J79" s="17">
        <v>9</v>
      </c>
      <c r="K79" s="17">
        <v>4</v>
      </c>
      <c r="L79" s="17">
        <v>7</v>
      </c>
      <c r="M79" s="17">
        <v>7</v>
      </c>
      <c r="N79" s="17">
        <v>2</v>
      </c>
      <c r="O79" s="17">
        <v>4</v>
      </c>
      <c r="P79" s="17">
        <v>5</v>
      </c>
      <c r="Q79" s="17">
        <v>7</v>
      </c>
      <c r="R79" s="17">
        <v>12</v>
      </c>
      <c r="S79" s="17">
        <v>7</v>
      </c>
      <c r="T79" s="17">
        <v>15.45</v>
      </c>
      <c r="U79" s="17">
        <f t="shared" si="3"/>
        <v>101.45</v>
      </c>
    </row>
    <row r="80" spans="2:21" ht="15.6" x14ac:dyDescent="0.3">
      <c r="B80" s="99"/>
      <c r="C80" s="101"/>
      <c r="D80" s="93"/>
      <c r="E80" s="5">
        <v>76</v>
      </c>
      <c r="F80" s="3" t="s">
        <v>100</v>
      </c>
      <c r="G80" s="17">
        <v>5.0000000000000009</v>
      </c>
      <c r="H80" s="17">
        <v>0.7</v>
      </c>
      <c r="I80" s="17">
        <v>0.3</v>
      </c>
      <c r="J80" s="17">
        <v>0.5</v>
      </c>
      <c r="K80" s="17">
        <v>0.3</v>
      </c>
      <c r="L80" s="17">
        <v>0.6</v>
      </c>
      <c r="M80" s="17">
        <v>0.6</v>
      </c>
      <c r="N80" s="17">
        <v>0.1</v>
      </c>
      <c r="O80" s="17">
        <v>0.2</v>
      </c>
      <c r="P80" s="17">
        <v>0.4</v>
      </c>
      <c r="Q80" s="17">
        <v>0.5</v>
      </c>
      <c r="R80" s="17">
        <v>0.4</v>
      </c>
      <c r="S80" s="17">
        <v>0.4</v>
      </c>
      <c r="T80" s="17">
        <v>0</v>
      </c>
      <c r="U80" s="17">
        <f t="shared" si="3"/>
        <v>5.0000000000000009</v>
      </c>
    </row>
    <row r="81" spans="2:21" ht="15.6" x14ac:dyDescent="0.3">
      <c r="B81" s="99"/>
      <c r="C81" s="101"/>
      <c r="D81" s="93"/>
      <c r="E81" s="5">
        <v>77</v>
      </c>
      <c r="F81" s="3" t="s">
        <v>101</v>
      </c>
      <c r="G81" s="17">
        <v>239.2</v>
      </c>
      <c r="H81" s="17">
        <v>5</v>
      </c>
      <c r="I81" s="17">
        <v>2.2000000000000002</v>
      </c>
      <c r="J81" s="17">
        <v>4</v>
      </c>
      <c r="K81" s="17">
        <v>3</v>
      </c>
      <c r="L81" s="17">
        <v>5</v>
      </c>
      <c r="M81" s="17">
        <v>4</v>
      </c>
      <c r="N81" s="17">
        <v>1</v>
      </c>
      <c r="O81" s="17">
        <v>2</v>
      </c>
      <c r="P81" s="17">
        <v>3</v>
      </c>
      <c r="Q81" s="17">
        <v>4</v>
      </c>
      <c r="R81" s="17">
        <v>3</v>
      </c>
      <c r="S81" s="17">
        <v>3</v>
      </c>
      <c r="T81" s="17">
        <v>200</v>
      </c>
      <c r="U81" s="17">
        <f t="shared" si="3"/>
        <v>239.2</v>
      </c>
    </row>
    <row r="82" spans="2:21" ht="15.6" x14ac:dyDescent="0.3">
      <c r="B82" s="99"/>
      <c r="C82" s="101"/>
      <c r="D82" s="93"/>
      <c r="E82" s="5">
        <v>78</v>
      </c>
      <c r="F82" s="3" t="s">
        <v>102</v>
      </c>
      <c r="G82" s="17">
        <v>60.8</v>
      </c>
      <c r="H82" s="17">
        <v>4</v>
      </c>
      <c r="I82" s="17">
        <v>2</v>
      </c>
      <c r="J82" s="17">
        <v>4</v>
      </c>
      <c r="K82" s="17">
        <v>2</v>
      </c>
      <c r="L82" s="17">
        <v>4</v>
      </c>
      <c r="M82" s="17">
        <v>4</v>
      </c>
      <c r="N82" s="17">
        <v>1</v>
      </c>
      <c r="O82" s="17">
        <v>2</v>
      </c>
      <c r="P82" s="17">
        <v>3</v>
      </c>
      <c r="Q82" s="17">
        <v>3</v>
      </c>
      <c r="R82" s="17">
        <v>3</v>
      </c>
      <c r="S82" s="17">
        <v>3</v>
      </c>
      <c r="T82" s="17">
        <v>25.8</v>
      </c>
      <c r="U82" s="17">
        <f t="shared" si="3"/>
        <v>60.8</v>
      </c>
    </row>
    <row r="83" spans="2:21" s="40" customFormat="1" ht="31.2" x14ac:dyDescent="0.3">
      <c r="B83" s="99"/>
      <c r="C83" s="101"/>
      <c r="D83" s="93"/>
      <c r="E83" s="38">
        <v>79</v>
      </c>
      <c r="F83" s="39" t="s">
        <v>25</v>
      </c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</row>
    <row r="84" spans="2:21" ht="15.6" x14ac:dyDescent="0.3">
      <c r="B84" s="99"/>
      <c r="C84" s="93" t="s">
        <v>103</v>
      </c>
      <c r="D84" s="93" t="s">
        <v>104</v>
      </c>
      <c r="E84" s="5">
        <v>80</v>
      </c>
      <c r="F84" s="3" t="s">
        <v>105</v>
      </c>
      <c r="G84" s="17">
        <v>11.57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11.57</v>
      </c>
      <c r="U84" s="17">
        <f t="shared" si="3"/>
        <v>11.57</v>
      </c>
    </row>
    <row r="85" spans="2:21" ht="31.2" x14ac:dyDescent="0.3">
      <c r="B85" s="99"/>
      <c r="C85" s="93"/>
      <c r="D85" s="93"/>
      <c r="E85" s="5">
        <v>81</v>
      </c>
      <c r="F85" s="3" t="s">
        <v>106</v>
      </c>
      <c r="G85" s="17">
        <v>62.58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62.58</v>
      </c>
      <c r="U85" s="17">
        <f t="shared" si="3"/>
        <v>62.58</v>
      </c>
    </row>
    <row r="86" spans="2:21" ht="31.2" x14ac:dyDescent="0.3">
      <c r="B86" s="99"/>
      <c r="C86" s="93"/>
      <c r="D86" s="93"/>
      <c r="E86" s="5">
        <v>82</v>
      </c>
      <c r="F86" s="3" t="s">
        <v>107</v>
      </c>
      <c r="G86" s="17">
        <v>82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82</v>
      </c>
      <c r="U86" s="17">
        <f t="shared" si="3"/>
        <v>82</v>
      </c>
    </row>
    <row r="87" spans="2:21" ht="15.6" x14ac:dyDescent="0.3">
      <c r="B87" s="99"/>
      <c r="C87" s="93"/>
      <c r="D87" s="93"/>
      <c r="E87" s="5">
        <v>83</v>
      </c>
      <c r="F87" s="3" t="s">
        <v>108</v>
      </c>
      <c r="G87" s="17">
        <v>58.37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58.37</v>
      </c>
      <c r="U87" s="17">
        <f t="shared" si="3"/>
        <v>58.37</v>
      </c>
    </row>
    <row r="88" spans="2:21" ht="64.5" customHeight="1" x14ac:dyDescent="0.3">
      <c r="B88" s="99"/>
      <c r="C88" s="5" t="s">
        <v>109</v>
      </c>
      <c r="D88" s="5" t="s">
        <v>110</v>
      </c>
      <c r="E88" s="5">
        <v>84</v>
      </c>
      <c r="F88" s="3" t="s">
        <v>111</v>
      </c>
      <c r="G88" s="17">
        <v>95.85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95.85</v>
      </c>
      <c r="U88" s="17">
        <f t="shared" si="3"/>
        <v>95.85</v>
      </c>
    </row>
    <row r="89" spans="2:21" ht="79.5" customHeight="1" x14ac:dyDescent="0.3">
      <c r="B89" s="99"/>
      <c r="C89" s="5" t="s">
        <v>112</v>
      </c>
      <c r="D89" s="5" t="s">
        <v>113</v>
      </c>
      <c r="E89" s="5">
        <v>85</v>
      </c>
      <c r="F89" s="3" t="s">
        <v>114</v>
      </c>
      <c r="G89" s="17">
        <v>10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10</v>
      </c>
      <c r="U89" s="17">
        <f t="shared" si="3"/>
        <v>10</v>
      </c>
    </row>
    <row r="90" spans="2:21" s="40" customFormat="1" ht="49.5" customHeight="1" x14ac:dyDescent="0.3">
      <c r="B90" s="99"/>
      <c r="C90" s="38" t="s">
        <v>115</v>
      </c>
      <c r="D90" s="38" t="s">
        <v>25</v>
      </c>
      <c r="E90" s="38">
        <v>86</v>
      </c>
      <c r="F90" s="39" t="s">
        <v>116</v>
      </c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</row>
    <row r="91" spans="2:21" s="25" customFormat="1" ht="15.6" x14ac:dyDescent="0.3">
      <c r="B91" s="100"/>
      <c r="C91" s="97" t="s">
        <v>117</v>
      </c>
      <c r="D91" s="97"/>
      <c r="E91" s="97"/>
      <c r="F91" s="24"/>
      <c r="G91" s="70">
        <f>SUM(G67:G90)</f>
        <v>3024.9199999999996</v>
      </c>
      <c r="H91" s="70">
        <f t="shared" ref="H91:T91" si="4">SUM(H67:H90)</f>
        <v>199.82999999999998</v>
      </c>
      <c r="I91" s="70">
        <f t="shared" si="4"/>
        <v>34.78</v>
      </c>
      <c r="J91" s="70">
        <f t="shared" si="4"/>
        <v>57.31</v>
      </c>
      <c r="K91" s="70">
        <f t="shared" si="4"/>
        <v>34.39</v>
      </c>
      <c r="L91" s="70">
        <f t="shared" si="4"/>
        <v>59.03</v>
      </c>
      <c r="M91" s="70">
        <f t="shared" si="4"/>
        <v>57.690000000000005</v>
      </c>
      <c r="N91" s="70">
        <f t="shared" si="4"/>
        <v>19.600000000000001</v>
      </c>
      <c r="O91" s="70">
        <f t="shared" si="4"/>
        <v>25.32</v>
      </c>
      <c r="P91" s="70">
        <f t="shared" si="4"/>
        <v>42.77</v>
      </c>
      <c r="Q91" s="70">
        <f t="shared" si="4"/>
        <v>45.67</v>
      </c>
      <c r="R91" s="70">
        <f t="shared" si="4"/>
        <v>47.64</v>
      </c>
      <c r="S91" s="70">
        <f t="shared" si="4"/>
        <v>43.21</v>
      </c>
      <c r="T91" s="70">
        <f t="shared" si="4"/>
        <v>2357.6799999999998</v>
      </c>
      <c r="U91" s="70">
        <f t="shared" si="3"/>
        <v>3024.9199999999996</v>
      </c>
    </row>
    <row r="92" spans="2:21" ht="15.6" x14ac:dyDescent="0.3">
      <c r="B92" s="98" t="s">
        <v>118</v>
      </c>
      <c r="C92" s="93" t="s">
        <v>119</v>
      </c>
      <c r="D92" s="93" t="s">
        <v>120</v>
      </c>
      <c r="E92" s="5">
        <v>87</v>
      </c>
      <c r="F92" s="3" t="s">
        <v>121</v>
      </c>
      <c r="G92" s="17">
        <v>18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f>G92</f>
        <v>18</v>
      </c>
      <c r="U92" s="17">
        <f t="shared" ref="U92:U130" si="5">SUM(H92:T92)</f>
        <v>18</v>
      </c>
    </row>
    <row r="93" spans="2:21" ht="15.6" x14ac:dyDescent="0.3">
      <c r="B93" s="99"/>
      <c r="C93" s="93"/>
      <c r="D93" s="93"/>
      <c r="E93" s="5">
        <v>88</v>
      </c>
      <c r="F93" s="3" t="s">
        <v>122</v>
      </c>
      <c r="G93" s="17">
        <v>60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f t="shared" ref="T93:T101" si="6">G93</f>
        <v>60</v>
      </c>
      <c r="U93" s="17">
        <f t="shared" si="5"/>
        <v>60</v>
      </c>
    </row>
    <row r="94" spans="2:21" ht="31.2" x14ac:dyDescent="0.3">
      <c r="B94" s="99"/>
      <c r="C94" s="93"/>
      <c r="D94" s="93"/>
      <c r="E94" s="5">
        <v>89</v>
      </c>
      <c r="F94" s="3" t="s">
        <v>123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/>
      <c r="U94" s="17">
        <f t="shared" si="5"/>
        <v>0</v>
      </c>
    </row>
    <row r="95" spans="2:21" ht="31.2" x14ac:dyDescent="0.3">
      <c r="B95" s="99"/>
      <c r="C95" s="93"/>
      <c r="D95" s="93"/>
      <c r="E95" s="5">
        <v>90</v>
      </c>
      <c r="F95" s="3" t="s">
        <v>124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/>
      <c r="U95" s="17">
        <f t="shared" si="5"/>
        <v>0</v>
      </c>
    </row>
    <row r="96" spans="2:21" ht="15.6" x14ac:dyDescent="0.3">
      <c r="B96" s="99"/>
      <c r="C96" s="93"/>
      <c r="D96" s="93"/>
      <c r="E96" s="5">
        <v>91</v>
      </c>
      <c r="F96" s="3" t="s">
        <v>125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/>
      <c r="U96" s="17">
        <f t="shared" si="5"/>
        <v>0</v>
      </c>
    </row>
    <row r="97" spans="2:21" ht="31.2" x14ac:dyDescent="0.3">
      <c r="B97" s="99"/>
      <c r="C97" s="93"/>
      <c r="D97" s="93"/>
      <c r="E97" s="5">
        <v>92</v>
      </c>
      <c r="F97" s="3" t="s">
        <v>126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/>
      <c r="U97" s="17">
        <f t="shared" si="5"/>
        <v>0</v>
      </c>
    </row>
    <row r="98" spans="2:21" ht="15.6" x14ac:dyDescent="0.3">
      <c r="B98" s="99"/>
      <c r="C98" s="93"/>
      <c r="D98" s="93"/>
      <c r="E98" s="5">
        <v>93</v>
      </c>
      <c r="F98" s="3" t="s">
        <v>127</v>
      </c>
      <c r="G98" s="17">
        <v>25.2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f t="shared" si="6"/>
        <v>25.2</v>
      </c>
      <c r="U98" s="17">
        <f t="shared" si="5"/>
        <v>25.2</v>
      </c>
    </row>
    <row r="99" spans="2:21" ht="15.6" x14ac:dyDescent="0.3">
      <c r="B99" s="99"/>
      <c r="C99" s="93"/>
      <c r="D99" s="93"/>
      <c r="E99" s="5">
        <v>94</v>
      </c>
      <c r="F99" s="3" t="s">
        <v>128</v>
      </c>
      <c r="G99" s="17">
        <v>31.5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f t="shared" si="6"/>
        <v>31.5</v>
      </c>
      <c r="U99" s="17">
        <f t="shared" si="5"/>
        <v>31.5</v>
      </c>
    </row>
    <row r="100" spans="2:21" ht="46.8" x14ac:dyDescent="0.3">
      <c r="B100" s="99"/>
      <c r="C100" s="93"/>
      <c r="D100" s="93"/>
      <c r="E100" s="5">
        <v>95</v>
      </c>
      <c r="F100" s="3" t="s">
        <v>129</v>
      </c>
      <c r="G100" s="17">
        <v>46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f t="shared" si="6"/>
        <v>46</v>
      </c>
      <c r="U100" s="17">
        <f t="shared" si="5"/>
        <v>46</v>
      </c>
    </row>
    <row r="101" spans="2:21" ht="15.6" x14ac:dyDescent="0.3">
      <c r="B101" s="99"/>
      <c r="C101" s="93"/>
      <c r="D101" s="93"/>
      <c r="E101" s="5">
        <v>96</v>
      </c>
      <c r="F101" s="3" t="s">
        <v>130</v>
      </c>
      <c r="G101" s="17">
        <v>10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f t="shared" si="6"/>
        <v>10</v>
      </c>
      <c r="U101" s="17">
        <f t="shared" si="5"/>
        <v>10</v>
      </c>
    </row>
    <row r="102" spans="2:21" ht="31.2" x14ac:dyDescent="0.3">
      <c r="B102" s="99"/>
      <c r="C102" s="101" t="s">
        <v>131</v>
      </c>
      <c r="D102" s="101" t="s">
        <v>132</v>
      </c>
      <c r="E102" s="5">
        <v>97</v>
      </c>
      <c r="F102" s="3" t="s">
        <v>133</v>
      </c>
      <c r="G102" s="17">
        <v>61.25</v>
      </c>
      <c r="H102" s="17">
        <v>1.65</v>
      </c>
      <c r="I102" s="17">
        <v>1.65</v>
      </c>
      <c r="J102" s="17">
        <v>1.65</v>
      </c>
      <c r="K102" s="17">
        <v>1.65</v>
      </c>
      <c r="L102" s="17">
        <v>1.65</v>
      </c>
      <c r="M102" s="17">
        <v>1.65</v>
      </c>
      <c r="N102" s="17">
        <v>1.65</v>
      </c>
      <c r="O102" s="17">
        <v>1.65</v>
      </c>
      <c r="P102" s="17">
        <v>1.65</v>
      </c>
      <c r="Q102" s="17">
        <v>1.65</v>
      </c>
      <c r="R102" s="17">
        <v>1.65</v>
      </c>
      <c r="S102" s="17">
        <v>1.65</v>
      </c>
      <c r="T102" s="17">
        <v>41.45</v>
      </c>
      <c r="U102" s="17">
        <f t="shared" si="5"/>
        <v>61.25</v>
      </c>
    </row>
    <row r="103" spans="2:21" ht="15.6" x14ac:dyDescent="0.3">
      <c r="B103" s="99"/>
      <c r="C103" s="101"/>
      <c r="D103" s="101"/>
      <c r="E103" s="5">
        <v>98</v>
      </c>
      <c r="F103" s="3" t="s">
        <v>134</v>
      </c>
      <c r="G103" s="17">
        <v>56.820000000000007</v>
      </c>
      <c r="H103" s="17">
        <v>0</v>
      </c>
      <c r="I103" s="17">
        <v>0</v>
      </c>
      <c r="J103" s="17">
        <v>4.2300000000000004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52.59</v>
      </c>
      <c r="U103" s="17">
        <f t="shared" si="5"/>
        <v>56.820000000000007</v>
      </c>
    </row>
    <row r="104" spans="2:21" ht="15.6" x14ac:dyDescent="0.3">
      <c r="B104" s="99"/>
      <c r="C104" s="101" t="s">
        <v>135</v>
      </c>
      <c r="D104" s="101" t="s">
        <v>136</v>
      </c>
      <c r="E104" s="5">
        <v>99</v>
      </c>
      <c r="F104" s="3" t="s">
        <v>137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/>
      <c r="U104" s="17">
        <f t="shared" si="5"/>
        <v>0</v>
      </c>
    </row>
    <row r="105" spans="2:21" ht="15.6" x14ac:dyDescent="0.3">
      <c r="B105" s="99"/>
      <c r="C105" s="101"/>
      <c r="D105" s="101"/>
      <c r="E105" s="5">
        <v>100</v>
      </c>
      <c r="F105" s="3" t="s">
        <v>138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/>
      <c r="U105" s="17">
        <f t="shared" si="5"/>
        <v>0</v>
      </c>
    </row>
    <row r="106" spans="2:21" ht="15.6" x14ac:dyDescent="0.3">
      <c r="B106" s="99"/>
      <c r="C106" s="101"/>
      <c r="D106" s="101"/>
      <c r="E106" s="5">
        <v>101</v>
      </c>
      <c r="F106" s="3" t="s">
        <v>139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/>
      <c r="U106" s="17">
        <f t="shared" si="5"/>
        <v>0</v>
      </c>
    </row>
    <row r="107" spans="2:21" ht="15.6" x14ac:dyDescent="0.3">
      <c r="B107" s="99"/>
      <c r="C107" s="101"/>
      <c r="D107" s="101"/>
      <c r="E107" s="5">
        <v>102</v>
      </c>
      <c r="F107" s="3" t="s">
        <v>140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/>
      <c r="U107" s="17">
        <f t="shared" si="5"/>
        <v>0</v>
      </c>
    </row>
    <row r="108" spans="2:21" s="40" customFormat="1" ht="31.2" x14ac:dyDescent="0.3">
      <c r="B108" s="99"/>
      <c r="C108" s="101"/>
      <c r="D108" s="101"/>
      <c r="E108" s="38">
        <v>103</v>
      </c>
      <c r="F108" s="39" t="s">
        <v>25</v>
      </c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</row>
    <row r="109" spans="2:21" ht="15.6" x14ac:dyDescent="0.3">
      <c r="B109" s="99"/>
      <c r="C109" s="101" t="s">
        <v>141</v>
      </c>
      <c r="D109" s="101" t="s">
        <v>142</v>
      </c>
      <c r="E109" s="5">
        <v>104</v>
      </c>
      <c r="F109" s="3" t="s">
        <v>143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/>
      <c r="U109" s="17">
        <f t="shared" si="5"/>
        <v>0</v>
      </c>
    </row>
    <row r="110" spans="2:21" ht="15.6" x14ac:dyDescent="0.3">
      <c r="B110" s="99"/>
      <c r="C110" s="101"/>
      <c r="D110" s="101"/>
      <c r="E110" s="5">
        <v>105</v>
      </c>
      <c r="F110" s="3" t="s">
        <v>144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/>
      <c r="U110" s="17">
        <f t="shared" si="5"/>
        <v>0</v>
      </c>
    </row>
    <row r="111" spans="2:21" ht="15.6" x14ac:dyDescent="0.3">
      <c r="B111" s="99"/>
      <c r="C111" s="101"/>
      <c r="D111" s="101"/>
      <c r="E111" s="5">
        <v>106</v>
      </c>
      <c r="F111" s="3" t="s">
        <v>145</v>
      </c>
      <c r="G111" s="74">
        <v>17.899999999999999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4">
        <v>0</v>
      </c>
      <c r="T111" s="74">
        <v>17.899999999999999</v>
      </c>
      <c r="U111" s="17">
        <f t="shared" si="5"/>
        <v>17.899999999999999</v>
      </c>
    </row>
    <row r="112" spans="2:21" ht="15.6" x14ac:dyDescent="0.3">
      <c r="B112" s="99"/>
      <c r="C112" s="93" t="s">
        <v>146</v>
      </c>
      <c r="D112" s="93" t="s">
        <v>147</v>
      </c>
      <c r="E112" s="5">
        <v>107</v>
      </c>
      <c r="F112" s="3" t="s">
        <v>148</v>
      </c>
      <c r="G112" s="17">
        <v>5.5</v>
      </c>
      <c r="H112" s="17">
        <v>0.5</v>
      </c>
      <c r="I112" s="17">
        <v>0.5</v>
      </c>
      <c r="J112" s="17">
        <v>0.5</v>
      </c>
      <c r="K112" s="17">
        <v>0.5</v>
      </c>
      <c r="L112" s="17">
        <v>0.5</v>
      </c>
      <c r="M112" s="17">
        <v>0.5</v>
      </c>
      <c r="N112" s="17">
        <v>0</v>
      </c>
      <c r="O112" s="17">
        <v>0.5</v>
      </c>
      <c r="P112" s="17">
        <v>0.5</v>
      </c>
      <c r="Q112" s="17">
        <v>0.5</v>
      </c>
      <c r="R112" s="17">
        <v>0.5</v>
      </c>
      <c r="S112" s="17">
        <v>0.5</v>
      </c>
      <c r="T112" s="17"/>
      <c r="U112" s="17">
        <f t="shared" si="5"/>
        <v>5.5</v>
      </c>
    </row>
    <row r="113" spans="2:21" ht="15.6" x14ac:dyDescent="0.3">
      <c r="B113" s="99"/>
      <c r="C113" s="93"/>
      <c r="D113" s="93"/>
      <c r="E113" s="5">
        <v>108</v>
      </c>
      <c r="F113" s="3" t="s">
        <v>149</v>
      </c>
      <c r="G113" s="17">
        <v>11</v>
      </c>
      <c r="H113" s="17">
        <v>1.5</v>
      </c>
      <c r="I113" s="17">
        <v>0.5</v>
      </c>
      <c r="J113" s="17">
        <v>1.5</v>
      </c>
      <c r="K113" s="17">
        <v>0</v>
      </c>
      <c r="L113" s="17">
        <v>1</v>
      </c>
      <c r="M113" s="17">
        <v>1.5</v>
      </c>
      <c r="N113" s="17">
        <v>0.5</v>
      </c>
      <c r="O113" s="17">
        <v>0.5</v>
      </c>
      <c r="P113" s="17">
        <v>1.5</v>
      </c>
      <c r="Q113" s="17">
        <v>0.5</v>
      </c>
      <c r="R113" s="17">
        <v>1</v>
      </c>
      <c r="S113" s="17">
        <v>1</v>
      </c>
      <c r="T113" s="17"/>
      <c r="U113" s="17">
        <f t="shared" si="5"/>
        <v>11</v>
      </c>
    </row>
    <row r="114" spans="2:21" ht="31.2" x14ac:dyDescent="0.3">
      <c r="B114" s="99"/>
      <c r="C114" s="93"/>
      <c r="D114" s="93"/>
      <c r="E114" s="5">
        <v>109</v>
      </c>
      <c r="F114" s="3" t="s">
        <v>150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/>
      <c r="U114" s="17">
        <f t="shared" si="5"/>
        <v>0</v>
      </c>
    </row>
    <row r="115" spans="2:21" ht="15.6" x14ac:dyDescent="0.3">
      <c r="B115" s="99"/>
      <c r="C115" s="93"/>
      <c r="D115" s="93"/>
      <c r="E115" s="5">
        <v>110</v>
      </c>
      <c r="F115" s="3" t="s">
        <v>151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/>
      <c r="U115" s="17">
        <f t="shared" si="5"/>
        <v>0</v>
      </c>
    </row>
    <row r="116" spans="2:21" s="40" customFormat="1" ht="31.2" x14ac:dyDescent="0.3">
      <c r="B116" s="99"/>
      <c r="C116" s="93"/>
      <c r="D116" s="93"/>
      <c r="E116" s="38">
        <v>111</v>
      </c>
      <c r="F116" s="39" t="s">
        <v>25</v>
      </c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</row>
    <row r="117" spans="2:21" ht="15.6" x14ac:dyDescent="0.3">
      <c r="B117" s="99"/>
      <c r="C117" s="93" t="s">
        <v>152</v>
      </c>
      <c r="D117" s="93" t="s">
        <v>153</v>
      </c>
      <c r="E117" s="5">
        <v>112</v>
      </c>
      <c r="F117" s="3" t="s">
        <v>154</v>
      </c>
      <c r="G117" s="17">
        <v>455.89249999999998</v>
      </c>
      <c r="H117" s="17">
        <v>0</v>
      </c>
      <c r="I117" s="17">
        <v>0</v>
      </c>
      <c r="J117" s="17">
        <v>0</v>
      </c>
      <c r="K117" s="17">
        <v>2</v>
      </c>
      <c r="L117" s="17">
        <v>0</v>
      </c>
      <c r="M117" s="17">
        <v>0</v>
      </c>
      <c r="N117" s="17">
        <v>2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451.89249999999998</v>
      </c>
      <c r="U117" s="17">
        <f t="shared" si="5"/>
        <v>455.89249999999998</v>
      </c>
    </row>
    <row r="118" spans="2:21" ht="15.6" x14ac:dyDescent="0.3">
      <c r="B118" s="99"/>
      <c r="C118" s="93"/>
      <c r="D118" s="93"/>
      <c r="E118" s="5">
        <v>113</v>
      </c>
      <c r="F118" s="3" t="s">
        <v>155</v>
      </c>
      <c r="G118" s="17">
        <v>0</v>
      </c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>
        <f t="shared" si="5"/>
        <v>0</v>
      </c>
    </row>
    <row r="119" spans="2:21" ht="81" customHeight="1" x14ac:dyDescent="0.3">
      <c r="B119" s="99"/>
      <c r="C119" s="5" t="s">
        <v>156</v>
      </c>
      <c r="D119" s="5" t="s">
        <v>157</v>
      </c>
      <c r="E119" s="5">
        <v>114</v>
      </c>
      <c r="F119" s="3" t="s">
        <v>158</v>
      </c>
      <c r="G119" s="17">
        <v>51</v>
      </c>
      <c r="H119" s="17">
        <v>3.5</v>
      </c>
      <c r="I119" s="17">
        <v>3.5</v>
      </c>
      <c r="J119" s="17">
        <v>3.5</v>
      </c>
      <c r="K119" s="17">
        <v>3.5</v>
      </c>
      <c r="L119" s="17">
        <v>3.5</v>
      </c>
      <c r="M119" s="17">
        <v>3.5</v>
      </c>
      <c r="N119" s="17">
        <v>3.5</v>
      </c>
      <c r="O119" s="17">
        <f>2.6+3.5</f>
        <v>6.1</v>
      </c>
      <c r="P119" s="17">
        <v>3.5</v>
      </c>
      <c r="Q119" s="17">
        <v>3.5</v>
      </c>
      <c r="R119" s="17">
        <f>2.7+2.7+3.5</f>
        <v>8.9</v>
      </c>
      <c r="S119" s="17">
        <v>3.5</v>
      </c>
      <c r="T119" s="17">
        <f>1</f>
        <v>1</v>
      </c>
      <c r="U119" s="17">
        <f t="shared" si="5"/>
        <v>51</v>
      </c>
    </row>
    <row r="120" spans="2:21" ht="15.6" x14ac:dyDescent="0.3">
      <c r="B120" s="99"/>
      <c r="C120" s="93" t="s">
        <v>159</v>
      </c>
      <c r="D120" s="93" t="s">
        <v>160</v>
      </c>
      <c r="E120" s="5">
        <v>115</v>
      </c>
      <c r="F120" s="3" t="s">
        <v>161</v>
      </c>
      <c r="G120" s="82">
        <v>35.57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82">
        <v>35.57</v>
      </c>
      <c r="U120" s="17">
        <f t="shared" si="5"/>
        <v>35.57</v>
      </c>
    </row>
    <row r="121" spans="2:21" ht="15.6" x14ac:dyDescent="0.3">
      <c r="B121" s="99"/>
      <c r="C121" s="93"/>
      <c r="D121" s="93"/>
      <c r="E121" s="5">
        <v>116</v>
      </c>
      <c r="F121" s="3" t="s">
        <v>162</v>
      </c>
      <c r="G121" s="82">
        <v>46.97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82">
        <v>46.97</v>
      </c>
      <c r="U121" s="17">
        <f t="shared" si="5"/>
        <v>46.97</v>
      </c>
    </row>
    <row r="122" spans="2:21" ht="15.6" x14ac:dyDescent="0.3">
      <c r="B122" s="99"/>
      <c r="C122" s="93"/>
      <c r="D122" s="93"/>
      <c r="E122" s="5">
        <v>117</v>
      </c>
      <c r="F122" s="3" t="s">
        <v>163</v>
      </c>
      <c r="G122" s="17">
        <v>0</v>
      </c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>
        <f t="shared" si="5"/>
        <v>0</v>
      </c>
    </row>
    <row r="123" spans="2:21" s="40" customFormat="1" ht="31.2" x14ac:dyDescent="0.3">
      <c r="B123" s="99"/>
      <c r="C123" s="93"/>
      <c r="D123" s="93"/>
      <c r="E123" s="38">
        <v>118</v>
      </c>
      <c r="F123" s="39" t="s">
        <v>25</v>
      </c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</row>
    <row r="124" spans="2:21" ht="64.5" customHeight="1" x14ac:dyDescent="0.3">
      <c r="B124" s="99"/>
      <c r="C124" s="5" t="s">
        <v>164</v>
      </c>
      <c r="D124" s="5" t="s">
        <v>165</v>
      </c>
      <c r="E124" s="5">
        <v>119</v>
      </c>
      <c r="F124" s="3" t="s">
        <v>166</v>
      </c>
      <c r="G124" s="17">
        <v>29</v>
      </c>
      <c r="H124" s="17">
        <v>3.5</v>
      </c>
      <c r="I124" s="17">
        <v>2</v>
      </c>
      <c r="J124" s="17">
        <v>3.5</v>
      </c>
      <c r="K124" s="17">
        <v>2</v>
      </c>
      <c r="L124" s="17">
        <v>2</v>
      </c>
      <c r="M124" s="17">
        <v>3.5</v>
      </c>
      <c r="N124" s="17">
        <v>2</v>
      </c>
      <c r="O124" s="17">
        <v>2</v>
      </c>
      <c r="P124" s="17">
        <v>2.5</v>
      </c>
      <c r="Q124" s="17">
        <v>2</v>
      </c>
      <c r="R124" s="17">
        <v>2</v>
      </c>
      <c r="S124" s="17">
        <v>2</v>
      </c>
      <c r="T124" s="17">
        <v>0</v>
      </c>
      <c r="U124" s="17">
        <f t="shared" si="5"/>
        <v>29</v>
      </c>
    </row>
    <row r="125" spans="2:21" ht="98.25" customHeight="1" x14ac:dyDescent="0.3">
      <c r="B125" s="99"/>
      <c r="C125" s="5" t="s">
        <v>167</v>
      </c>
      <c r="D125" s="5" t="s">
        <v>168</v>
      </c>
      <c r="E125" s="5">
        <v>120</v>
      </c>
      <c r="F125" s="3" t="s">
        <v>169</v>
      </c>
      <c r="G125" s="75">
        <v>0</v>
      </c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17">
        <f t="shared" si="5"/>
        <v>0</v>
      </c>
    </row>
    <row r="126" spans="2:21" ht="15.6" x14ac:dyDescent="0.3">
      <c r="B126" s="99"/>
      <c r="C126" s="101" t="s">
        <v>170</v>
      </c>
      <c r="D126" s="101" t="s">
        <v>171</v>
      </c>
      <c r="E126" s="5">
        <v>121</v>
      </c>
      <c r="F126" s="3" t="s">
        <v>172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/>
      <c r="U126" s="17">
        <f t="shared" si="5"/>
        <v>0</v>
      </c>
    </row>
    <row r="127" spans="2:21" ht="15.6" x14ac:dyDescent="0.3">
      <c r="B127" s="99"/>
      <c r="C127" s="101"/>
      <c r="D127" s="101"/>
      <c r="E127" s="5">
        <v>122</v>
      </c>
      <c r="F127" s="3" t="s">
        <v>173</v>
      </c>
      <c r="G127" s="17">
        <v>2.7</v>
      </c>
      <c r="H127" s="17"/>
      <c r="I127" s="17"/>
      <c r="J127" s="17"/>
      <c r="K127" s="17"/>
      <c r="L127" s="17"/>
      <c r="M127" s="17"/>
      <c r="N127" s="17"/>
      <c r="O127" s="17">
        <v>0.9</v>
      </c>
      <c r="P127" s="17"/>
      <c r="Q127" s="17">
        <v>0.9</v>
      </c>
      <c r="R127" s="17"/>
      <c r="S127" s="17">
        <v>0.9</v>
      </c>
      <c r="T127" s="17"/>
      <c r="U127" s="17">
        <f t="shared" si="5"/>
        <v>2.7</v>
      </c>
    </row>
    <row r="128" spans="2:21" s="40" customFormat="1" ht="15.6" x14ac:dyDescent="0.3">
      <c r="B128" s="99"/>
      <c r="C128" s="101"/>
      <c r="D128" s="101"/>
      <c r="E128" s="38">
        <v>123</v>
      </c>
      <c r="F128" s="39" t="s">
        <v>174</v>
      </c>
      <c r="G128" s="71">
        <v>0</v>
      </c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>
        <f t="shared" si="5"/>
        <v>0</v>
      </c>
    </row>
    <row r="129" spans="2:21" ht="15.6" x14ac:dyDescent="0.3">
      <c r="B129" s="99"/>
      <c r="C129" s="101" t="s">
        <v>175</v>
      </c>
      <c r="D129" s="101" t="s">
        <v>176</v>
      </c>
      <c r="E129" s="5">
        <v>124</v>
      </c>
      <c r="F129" s="3" t="s">
        <v>177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/>
      <c r="U129" s="17">
        <f t="shared" si="5"/>
        <v>0</v>
      </c>
    </row>
    <row r="130" spans="2:21" ht="15.6" x14ac:dyDescent="0.3">
      <c r="B130" s="99"/>
      <c r="C130" s="101"/>
      <c r="D130" s="101"/>
      <c r="E130" s="5">
        <v>125</v>
      </c>
      <c r="F130" s="3" t="s">
        <v>178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/>
      <c r="U130" s="17">
        <f t="shared" si="5"/>
        <v>0</v>
      </c>
    </row>
    <row r="131" spans="2:21" s="40" customFormat="1" ht="47.25" customHeight="1" x14ac:dyDescent="0.3">
      <c r="B131" s="99"/>
      <c r="C131" s="38" t="s">
        <v>179</v>
      </c>
      <c r="D131" s="38" t="s">
        <v>180</v>
      </c>
      <c r="E131" s="38">
        <v>126</v>
      </c>
      <c r="F131" s="39" t="s">
        <v>116</v>
      </c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</row>
    <row r="132" spans="2:21" s="25" customFormat="1" ht="15.6" x14ac:dyDescent="0.3">
      <c r="B132" s="100"/>
      <c r="C132" s="97" t="s">
        <v>181</v>
      </c>
      <c r="D132" s="97"/>
      <c r="E132" s="97"/>
      <c r="F132" s="24"/>
      <c r="G132" s="70">
        <f>SUM(G92:G131)</f>
        <v>964.30250000000012</v>
      </c>
      <c r="H132" s="70">
        <f t="shared" ref="H132:T132" si="7">SUM(H92:H131)</f>
        <v>10.65</v>
      </c>
      <c r="I132" s="70">
        <f t="shared" si="7"/>
        <v>8.15</v>
      </c>
      <c r="J132" s="70">
        <f t="shared" si="7"/>
        <v>14.88</v>
      </c>
      <c r="K132" s="70">
        <f t="shared" si="7"/>
        <v>9.65</v>
      </c>
      <c r="L132" s="70">
        <f t="shared" si="7"/>
        <v>8.65</v>
      </c>
      <c r="M132" s="70">
        <f t="shared" si="7"/>
        <v>10.65</v>
      </c>
      <c r="N132" s="70">
        <f t="shared" si="7"/>
        <v>9.65</v>
      </c>
      <c r="O132" s="70">
        <f t="shared" si="7"/>
        <v>11.65</v>
      </c>
      <c r="P132" s="70">
        <f t="shared" si="7"/>
        <v>9.65</v>
      </c>
      <c r="Q132" s="70">
        <f t="shared" si="7"/>
        <v>9.0500000000000007</v>
      </c>
      <c r="R132" s="70">
        <f t="shared" si="7"/>
        <v>14.05</v>
      </c>
      <c r="S132" s="70">
        <f t="shared" si="7"/>
        <v>9.5500000000000007</v>
      </c>
      <c r="T132" s="70">
        <f t="shared" si="7"/>
        <v>838.0725000000001</v>
      </c>
      <c r="U132" s="70">
        <f t="shared" ref="U132" si="8">SUM(H132:T132)</f>
        <v>964.30250000000012</v>
      </c>
    </row>
    <row r="133" spans="2:21" ht="31.2" x14ac:dyDescent="0.3">
      <c r="B133" s="98" t="s">
        <v>182</v>
      </c>
      <c r="C133" s="93" t="s">
        <v>183</v>
      </c>
      <c r="D133" s="93" t="s">
        <v>184</v>
      </c>
      <c r="E133" s="5">
        <v>127</v>
      </c>
      <c r="F133" s="3" t="s">
        <v>185</v>
      </c>
      <c r="G133" s="17">
        <v>10</v>
      </c>
      <c r="H133" s="17">
        <v>2</v>
      </c>
      <c r="I133" s="17">
        <v>0</v>
      </c>
      <c r="J133" s="17">
        <f>2+1+1</f>
        <v>4</v>
      </c>
      <c r="K133" s="17">
        <v>0</v>
      </c>
      <c r="L133" s="17">
        <v>1</v>
      </c>
      <c r="M133" s="17">
        <v>1</v>
      </c>
      <c r="N133" s="17">
        <v>0</v>
      </c>
      <c r="O133" s="17">
        <v>0</v>
      </c>
      <c r="P133" s="17">
        <v>0</v>
      </c>
      <c r="Q133" s="17">
        <v>1</v>
      </c>
      <c r="R133" s="17">
        <v>1</v>
      </c>
      <c r="S133" s="17"/>
      <c r="T133" s="17">
        <v>0</v>
      </c>
      <c r="U133" s="17">
        <f t="shared" ref="U133:U196" si="9">SUM(H133:T133)</f>
        <v>10</v>
      </c>
    </row>
    <row r="134" spans="2:21" ht="15.6" x14ac:dyDescent="0.3">
      <c r="B134" s="99"/>
      <c r="C134" s="93"/>
      <c r="D134" s="93"/>
      <c r="E134" s="5">
        <v>128</v>
      </c>
      <c r="F134" s="3" t="s">
        <v>186</v>
      </c>
      <c r="G134" s="17">
        <v>2.6999999999999997</v>
      </c>
      <c r="H134" s="17">
        <f>0.3+0.3</f>
        <v>0.6</v>
      </c>
      <c r="I134" s="17">
        <v>0</v>
      </c>
      <c r="J134" s="17">
        <f>0.3+0.3</f>
        <v>0.6</v>
      </c>
      <c r="K134" s="17">
        <v>0</v>
      </c>
      <c r="L134" s="17">
        <v>0.3</v>
      </c>
      <c r="M134" s="17">
        <v>0.3</v>
      </c>
      <c r="N134" s="17">
        <v>0</v>
      </c>
      <c r="O134" s="17">
        <v>0</v>
      </c>
      <c r="P134" s="17">
        <v>0</v>
      </c>
      <c r="Q134" s="17">
        <v>0.3</v>
      </c>
      <c r="R134" s="17">
        <v>0.3</v>
      </c>
      <c r="S134" s="17">
        <v>0.3</v>
      </c>
      <c r="T134" s="17">
        <v>0</v>
      </c>
      <c r="U134" s="17">
        <f t="shared" si="9"/>
        <v>2.6999999999999997</v>
      </c>
    </row>
    <row r="135" spans="2:21" ht="31.2" x14ac:dyDescent="0.3">
      <c r="B135" s="99"/>
      <c r="C135" s="93"/>
      <c r="D135" s="93"/>
      <c r="E135" s="5">
        <v>129</v>
      </c>
      <c r="F135" s="3" t="s">
        <v>187</v>
      </c>
      <c r="G135" s="17">
        <v>1.7999999999999996</v>
      </c>
      <c r="H135" s="17">
        <f>0.18+0.18</f>
        <v>0.36</v>
      </c>
      <c r="I135" s="17">
        <v>0</v>
      </c>
      <c r="J135" s="17">
        <f>0.18+0.18</f>
        <v>0.36</v>
      </c>
      <c r="K135" s="17">
        <v>0</v>
      </c>
      <c r="L135" s="17">
        <v>0.18</v>
      </c>
      <c r="M135" s="17">
        <v>0.18</v>
      </c>
      <c r="N135" s="17">
        <v>0</v>
      </c>
      <c r="O135" s="17">
        <v>0</v>
      </c>
      <c r="P135" s="17">
        <v>0</v>
      </c>
      <c r="Q135" s="17">
        <v>0.18</v>
      </c>
      <c r="R135" s="17">
        <v>0.18</v>
      </c>
      <c r="S135" s="17">
        <v>0.18</v>
      </c>
      <c r="T135" s="17">
        <v>0.18</v>
      </c>
      <c r="U135" s="17">
        <f t="shared" si="9"/>
        <v>1.7999999999999996</v>
      </c>
    </row>
    <row r="136" spans="2:21" ht="31.2" x14ac:dyDescent="0.3">
      <c r="B136" s="99"/>
      <c r="C136" s="93" t="s">
        <v>188</v>
      </c>
      <c r="D136" s="93" t="s">
        <v>189</v>
      </c>
      <c r="E136" s="5">
        <v>130</v>
      </c>
      <c r="F136" s="3" t="s">
        <v>190</v>
      </c>
      <c r="G136" s="17">
        <v>4.5100000000000007</v>
      </c>
      <c r="H136" s="17">
        <f>1.48</f>
        <v>1.48</v>
      </c>
      <c r="I136" s="17">
        <v>0</v>
      </c>
      <c r="J136" s="17">
        <f>1.19</f>
        <v>1.19</v>
      </c>
      <c r="K136" s="17">
        <v>0</v>
      </c>
      <c r="L136" s="17">
        <v>0.36</v>
      </c>
      <c r="M136" s="17">
        <f>0.43</f>
        <v>0.43</v>
      </c>
      <c r="N136" s="17">
        <v>0</v>
      </c>
      <c r="O136" s="17">
        <v>0</v>
      </c>
      <c r="P136" s="17">
        <v>0</v>
      </c>
      <c r="Q136" s="17">
        <v>0.45</v>
      </c>
      <c r="R136" s="17">
        <v>0.41</v>
      </c>
      <c r="S136" s="17">
        <v>0.19</v>
      </c>
      <c r="T136" s="17">
        <v>0</v>
      </c>
      <c r="U136" s="17">
        <f t="shared" si="9"/>
        <v>4.5100000000000007</v>
      </c>
    </row>
    <row r="137" spans="2:21" ht="15.6" x14ac:dyDescent="0.3">
      <c r="B137" s="99"/>
      <c r="C137" s="93"/>
      <c r="D137" s="94"/>
      <c r="E137" s="5">
        <v>131</v>
      </c>
      <c r="F137" s="3" t="s">
        <v>191</v>
      </c>
      <c r="G137" s="17">
        <v>4.0999999999999996</v>
      </c>
      <c r="H137" s="17"/>
      <c r="I137" s="17">
        <v>0</v>
      </c>
      <c r="J137" s="17">
        <v>0</v>
      </c>
      <c r="K137" s="17">
        <v>0</v>
      </c>
      <c r="L137" s="17">
        <v>2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2.1</v>
      </c>
      <c r="T137" s="17">
        <v>0</v>
      </c>
      <c r="U137" s="17">
        <f t="shared" si="9"/>
        <v>4.0999999999999996</v>
      </c>
    </row>
    <row r="138" spans="2:21" ht="15.6" x14ac:dyDescent="0.3">
      <c r="B138" s="99"/>
      <c r="C138" s="93"/>
      <c r="D138" s="94"/>
      <c r="E138" s="5">
        <v>132</v>
      </c>
      <c r="F138" s="3" t="s">
        <v>192</v>
      </c>
      <c r="G138" s="17">
        <v>0</v>
      </c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>
        <f t="shared" si="9"/>
        <v>0</v>
      </c>
    </row>
    <row r="139" spans="2:21" ht="15.6" x14ac:dyDescent="0.3">
      <c r="B139" s="99"/>
      <c r="C139" s="93"/>
      <c r="D139" s="94"/>
      <c r="E139" s="5">
        <v>133</v>
      </c>
      <c r="F139" s="3" t="s">
        <v>193</v>
      </c>
      <c r="G139" s="17">
        <v>0</v>
      </c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>
        <f t="shared" si="9"/>
        <v>0</v>
      </c>
    </row>
    <row r="140" spans="2:21" ht="15.6" x14ac:dyDescent="0.3">
      <c r="B140" s="99"/>
      <c r="C140" s="93"/>
      <c r="D140" s="94"/>
      <c r="E140" s="5">
        <v>134</v>
      </c>
      <c r="F140" s="3" t="s">
        <v>194</v>
      </c>
      <c r="G140" s="17">
        <v>26.94</v>
      </c>
      <c r="H140" s="17">
        <f>0.36+0.36+2.4+2.4+0.3+0.3</f>
        <v>6.1199999999999992</v>
      </c>
      <c r="I140" s="17">
        <v>0</v>
      </c>
      <c r="J140" s="17">
        <f>0.36+0.36+2.4+2.4+0.3+0.3</f>
        <v>6.1199999999999992</v>
      </c>
      <c r="K140" s="17">
        <v>0</v>
      </c>
      <c r="L140" s="17">
        <f>0.36+2.4+0.18</f>
        <v>2.94</v>
      </c>
      <c r="M140" s="17">
        <f>0.36+2.4+0.18</f>
        <v>2.94</v>
      </c>
      <c r="N140" s="17">
        <v>0</v>
      </c>
      <c r="O140" s="17">
        <v>0</v>
      </c>
      <c r="P140" s="17">
        <v>0</v>
      </c>
      <c r="Q140" s="17">
        <f>0.36+2.4+0.18</f>
        <v>2.94</v>
      </c>
      <c r="R140" s="17">
        <f>0.36+2.4+0.18</f>
        <v>2.94</v>
      </c>
      <c r="S140" s="17">
        <f>0.36+2.4+0.18</f>
        <v>2.94</v>
      </c>
      <c r="T140" s="17">
        <v>0</v>
      </c>
      <c r="U140" s="17">
        <f t="shared" si="9"/>
        <v>26.94</v>
      </c>
    </row>
    <row r="141" spans="2:21" ht="31.2" x14ac:dyDescent="0.3">
      <c r="B141" s="99"/>
      <c r="C141" s="93"/>
      <c r="D141" s="94"/>
      <c r="E141" s="5">
        <v>135</v>
      </c>
      <c r="F141" s="3" t="s">
        <v>195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f t="shared" si="9"/>
        <v>0</v>
      </c>
    </row>
    <row r="142" spans="2:21" ht="31.2" x14ac:dyDescent="0.3">
      <c r="B142" s="99"/>
      <c r="C142" s="93"/>
      <c r="D142" s="94"/>
      <c r="E142" s="5">
        <v>136</v>
      </c>
      <c r="F142" s="3" t="s">
        <v>196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f t="shared" si="9"/>
        <v>0</v>
      </c>
    </row>
    <row r="143" spans="2:21" ht="15.6" x14ac:dyDescent="0.3">
      <c r="B143" s="99"/>
      <c r="C143" s="93" t="s">
        <v>197</v>
      </c>
      <c r="D143" s="93" t="s">
        <v>198</v>
      </c>
      <c r="E143" s="5">
        <v>137</v>
      </c>
      <c r="F143" s="3" t="s">
        <v>199</v>
      </c>
      <c r="G143" s="17">
        <v>7.32</v>
      </c>
      <c r="H143" s="17">
        <v>2.52</v>
      </c>
      <c r="I143" s="17">
        <v>0</v>
      </c>
      <c r="J143" s="17">
        <v>2.4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2.4</v>
      </c>
      <c r="T143" s="17">
        <v>0</v>
      </c>
      <c r="U143" s="17">
        <f t="shared" si="9"/>
        <v>7.32</v>
      </c>
    </row>
    <row r="144" spans="2:21" ht="15.6" x14ac:dyDescent="0.3">
      <c r="B144" s="99"/>
      <c r="C144" s="93"/>
      <c r="D144" s="93"/>
      <c r="E144" s="5">
        <v>138</v>
      </c>
      <c r="F144" s="3" t="s">
        <v>200</v>
      </c>
      <c r="G144" s="17">
        <v>0</v>
      </c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>
        <f t="shared" si="9"/>
        <v>0</v>
      </c>
    </row>
    <row r="145" spans="2:21" ht="31.2" x14ac:dyDescent="0.3">
      <c r="B145" s="99"/>
      <c r="C145" s="93" t="s">
        <v>201</v>
      </c>
      <c r="D145" s="93" t="s">
        <v>202</v>
      </c>
      <c r="E145" s="5">
        <v>139</v>
      </c>
      <c r="F145" s="3" t="s">
        <v>203</v>
      </c>
      <c r="G145" s="17">
        <v>26.24</v>
      </c>
      <c r="H145" s="17">
        <f>0.43+0.43+2+2</f>
        <v>4.8599999999999994</v>
      </c>
      <c r="I145" s="17">
        <v>0</v>
      </c>
      <c r="J145" s="17">
        <f>0.43+0.43+1.2+2+2+1</f>
        <v>7.0600000000000005</v>
      </c>
      <c r="K145" s="17">
        <v>0</v>
      </c>
      <c r="L145" s="17">
        <f>0.43</f>
        <v>0.43</v>
      </c>
      <c r="M145" s="17">
        <f>0.43+1.2+2+1</f>
        <v>4.63</v>
      </c>
      <c r="N145" s="17">
        <v>0</v>
      </c>
      <c r="O145" s="17">
        <v>0</v>
      </c>
      <c r="P145" s="17">
        <v>0</v>
      </c>
      <c r="Q145" s="17">
        <f>0.43+1.2+2+1</f>
        <v>4.63</v>
      </c>
      <c r="R145" s="17">
        <f>0.43+1.2+2+1</f>
        <v>4.63</v>
      </c>
      <c r="S145" s="17">
        <v>0</v>
      </c>
      <c r="T145" s="17">
        <v>0</v>
      </c>
      <c r="U145" s="17">
        <f t="shared" si="9"/>
        <v>26.24</v>
      </c>
    </row>
    <row r="146" spans="2:21" ht="15.6" x14ac:dyDescent="0.3">
      <c r="B146" s="99"/>
      <c r="C146" s="93"/>
      <c r="D146" s="93"/>
      <c r="E146" s="5">
        <v>140</v>
      </c>
      <c r="F146" s="3" t="s">
        <v>204</v>
      </c>
      <c r="G146" s="17">
        <v>7.714999999999999</v>
      </c>
      <c r="H146" s="17">
        <f>0.135+0.135+0.5+0.5</f>
        <v>1.27</v>
      </c>
      <c r="I146" s="17"/>
      <c r="J146" s="17">
        <f>0.135+0.135+0.5+0.5</f>
        <v>1.27</v>
      </c>
      <c r="K146" s="17"/>
      <c r="L146" s="17">
        <f>0.135+0.5+1</f>
        <v>1.635</v>
      </c>
      <c r="M146" s="17">
        <f>0.135+0.5</f>
        <v>0.63500000000000001</v>
      </c>
      <c r="N146" s="17"/>
      <c r="O146" s="17"/>
      <c r="P146" s="17"/>
      <c r="Q146" s="17">
        <f>0.135+0.5</f>
        <v>0.63500000000000001</v>
      </c>
      <c r="R146" s="17">
        <f>0.135+0.5</f>
        <v>0.63500000000000001</v>
      </c>
      <c r="S146" s="17">
        <f>0.135+0.5+1</f>
        <v>1.635</v>
      </c>
      <c r="T146" s="17">
        <v>0</v>
      </c>
      <c r="U146" s="17">
        <f t="shared" si="9"/>
        <v>7.714999999999999</v>
      </c>
    </row>
    <row r="147" spans="2:21" ht="15.6" x14ac:dyDescent="0.3">
      <c r="B147" s="99"/>
      <c r="C147" s="93"/>
      <c r="D147" s="93"/>
      <c r="E147" s="5">
        <v>141</v>
      </c>
      <c r="F147" s="3" t="s">
        <v>205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f t="shared" si="9"/>
        <v>0</v>
      </c>
    </row>
    <row r="148" spans="2:21" ht="15.6" x14ac:dyDescent="0.3">
      <c r="B148" s="99"/>
      <c r="C148" s="93" t="s">
        <v>206</v>
      </c>
      <c r="D148" s="93" t="s">
        <v>207</v>
      </c>
      <c r="E148" s="5">
        <v>142</v>
      </c>
      <c r="F148" s="3" t="s">
        <v>208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f t="shared" si="9"/>
        <v>0</v>
      </c>
    </row>
    <row r="149" spans="2:21" ht="31.2" x14ac:dyDescent="0.3">
      <c r="B149" s="99"/>
      <c r="C149" s="93"/>
      <c r="D149" s="93"/>
      <c r="E149" s="5">
        <v>143</v>
      </c>
      <c r="F149" s="3" t="s">
        <v>209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f t="shared" si="9"/>
        <v>0</v>
      </c>
    </row>
    <row r="150" spans="2:21" ht="15.6" x14ac:dyDescent="0.3">
      <c r="B150" s="99"/>
      <c r="C150" s="93"/>
      <c r="D150" s="93"/>
      <c r="E150" s="5">
        <v>144</v>
      </c>
      <c r="F150" s="3" t="s">
        <v>210</v>
      </c>
      <c r="G150" s="17">
        <v>9</v>
      </c>
      <c r="H150" s="17">
        <f>1+1</f>
        <v>2</v>
      </c>
      <c r="I150" s="17">
        <v>0</v>
      </c>
      <c r="J150" s="17">
        <f>1+1</f>
        <v>2</v>
      </c>
      <c r="K150" s="17">
        <v>0</v>
      </c>
      <c r="L150" s="17">
        <f>1</f>
        <v>1</v>
      </c>
      <c r="M150" s="17">
        <f>1</f>
        <v>1</v>
      </c>
      <c r="N150" s="17">
        <v>0</v>
      </c>
      <c r="O150" s="17">
        <v>0</v>
      </c>
      <c r="P150" s="17">
        <v>0</v>
      </c>
      <c r="Q150" s="17">
        <f>1</f>
        <v>1</v>
      </c>
      <c r="R150" s="17">
        <f>1</f>
        <v>1</v>
      </c>
      <c r="S150" s="17">
        <f>1</f>
        <v>1</v>
      </c>
      <c r="T150" s="17">
        <v>0</v>
      </c>
      <c r="U150" s="17">
        <f t="shared" si="9"/>
        <v>9</v>
      </c>
    </row>
    <row r="151" spans="2:21" ht="31.2" x14ac:dyDescent="0.3">
      <c r="B151" s="99"/>
      <c r="C151" s="93"/>
      <c r="D151" s="93"/>
      <c r="E151" s="5">
        <v>145</v>
      </c>
      <c r="F151" s="3" t="s">
        <v>211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f t="shared" si="9"/>
        <v>0</v>
      </c>
    </row>
    <row r="152" spans="2:21" ht="31.2" x14ac:dyDescent="0.3">
      <c r="B152" s="99"/>
      <c r="C152" s="5" t="s">
        <v>212</v>
      </c>
      <c r="D152" s="5" t="s">
        <v>213</v>
      </c>
      <c r="E152" s="5">
        <v>146</v>
      </c>
      <c r="F152" s="8" t="s">
        <v>214</v>
      </c>
      <c r="G152" s="17">
        <v>14.85</v>
      </c>
      <c r="H152" s="17">
        <f>1+1.2</f>
        <v>2.2000000000000002</v>
      </c>
      <c r="I152" s="17">
        <v>0</v>
      </c>
      <c r="J152" s="17">
        <f>1+1.2</f>
        <v>2.2000000000000002</v>
      </c>
      <c r="K152" s="17">
        <v>0</v>
      </c>
      <c r="L152" s="17">
        <f>1+1.2</f>
        <v>2.2000000000000002</v>
      </c>
      <c r="M152" s="17">
        <f>1+1.2</f>
        <v>2.2000000000000002</v>
      </c>
      <c r="N152" s="17">
        <v>0</v>
      </c>
      <c r="O152" s="17">
        <v>0</v>
      </c>
      <c r="P152" s="17">
        <v>0</v>
      </c>
      <c r="Q152" s="17">
        <f>1+1.2</f>
        <v>2.2000000000000002</v>
      </c>
      <c r="R152" s="17">
        <f>1+1.2</f>
        <v>2.2000000000000002</v>
      </c>
      <c r="S152" s="17">
        <f>0.75+0.9</f>
        <v>1.65</v>
      </c>
      <c r="T152" s="17">
        <v>0</v>
      </c>
      <c r="U152" s="17">
        <f t="shared" si="9"/>
        <v>14.85</v>
      </c>
    </row>
    <row r="153" spans="2:21" ht="18.75" customHeight="1" x14ac:dyDescent="0.3">
      <c r="B153" s="99"/>
      <c r="C153" s="5" t="s">
        <v>215</v>
      </c>
      <c r="D153" s="5" t="s">
        <v>216</v>
      </c>
      <c r="E153" s="5">
        <v>147</v>
      </c>
      <c r="F153" s="9" t="s">
        <v>99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f t="shared" si="9"/>
        <v>0</v>
      </c>
    </row>
    <row r="154" spans="2:21" s="40" customFormat="1" ht="31.2" x14ac:dyDescent="0.3">
      <c r="B154" s="99"/>
      <c r="C154" s="38" t="s">
        <v>217</v>
      </c>
      <c r="D154" s="38" t="s">
        <v>218</v>
      </c>
      <c r="E154" s="38">
        <v>148</v>
      </c>
      <c r="F154" s="39" t="s">
        <v>219</v>
      </c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</row>
    <row r="155" spans="2:21" ht="17.25" customHeight="1" x14ac:dyDescent="0.3">
      <c r="B155" s="99"/>
      <c r="C155" s="5" t="s">
        <v>220</v>
      </c>
      <c r="D155" s="5" t="s">
        <v>221</v>
      </c>
      <c r="E155" s="5">
        <v>149</v>
      </c>
      <c r="F155" s="9" t="s">
        <v>222</v>
      </c>
      <c r="G155" s="17">
        <v>27.299999999999997</v>
      </c>
      <c r="H155" s="17">
        <f>1.75+1.75+4.1</f>
        <v>7.6</v>
      </c>
      <c r="I155" s="17"/>
      <c r="J155" s="17">
        <f>1.75+1+3.3</f>
        <v>6.05</v>
      </c>
      <c r="K155" s="17"/>
      <c r="L155" s="17">
        <f>1.75+1</f>
        <v>2.75</v>
      </c>
      <c r="M155" s="17">
        <f>1.75+1.2</f>
        <v>2.95</v>
      </c>
      <c r="N155" s="17"/>
      <c r="O155" s="17"/>
      <c r="P155" s="17"/>
      <c r="Q155" s="17">
        <f>1.75+1.25</f>
        <v>3</v>
      </c>
      <c r="R155" s="17">
        <f>1.75+1.15</f>
        <v>2.9</v>
      </c>
      <c r="S155" s="17">
        <f>1+1.05</f>
        <v>2.0499999999999998</v>
      </c>
      <c r="T155" s="17"/>
      <c r="U155" s="17">
        <f t="shared" si="9"/>
        <v>27.299999999999997</v>
      </c>
    </row>
    <row r="156" spans="2:21" s="25" customFormat="1" ht="15.6" x14ac:dyDescent="0.3">
      <c r="B156" s="100"/>
      <c r="C156" s="97" t="s">
        <v>223</v>
      </c>
      <c r="D156" s="97"/>
      <c r="E156" s="97"/>
      <c r="F156" s="24"/>
      <c r="G156" s="70">
        <f>SUM(G133:G155)</f>
        <v>142.47499999999999</v>
      </c>
      <c r="H156" s="70">
        <f t="shared" ref="H156:T156" si="10">SUM(H133:H155)</f>
        <v>31.009999999999998</v>
      </c>
      <c r="I156" s="70">
        <f t="shared" si="10"/>
        <v>0</v>
      </c>
      <c r="J156" s="70">
        <f t="shared" si="10"/>
        <v>33.25</v>
      </c>
      <c r="K156" s="70">
        <f t="shared" si="10"/>
        <v>0</v>
      </c>
      <c r="L156" s="70">
        <f t="shared" si="10"/>
        <v>14.794999999999998</v>
      </c>
      <c r="M156" s="70">
        <f t="shared" si="10"/>
        <v>16.265000000000001</v>
      </c>
      <c r="N156" s="70">
        <f t="shared" si="10"/>
        <v>0</v>
      </c>
      <c r="O156" s="70">
        <f t="shared" si="10"/>
        <v>0</v>
      </c>
      <c r="P156" s="70">
        <f t="shared" si="10"/>
        <v>0</v>
      </c>
      <c r="Q156" s="70">
        <f t="shared" si="10"/>
        <v>16.335000000000001</v>
      </c>
      <c r="R156" s="70">
        <f t="shared" si="10"/>
        <v>16.195</v>
      </c>
      <c r="S156" s="70">
        <f t="shared" si="10"/>
        <v>14.445</v>
      </c>
      <c r="T156" s="70">
        <f t="shared" si="10"/>
        <v>0.18</v>
      </c>
      <c r="U156" s="70">
        <f t="shared" si="9"/>
        <v>142.47499999999999</v>
      </c>
    </row>
    <row r="157" spans="2:21" ht="31.2" x14ac:dyDescent="0.3">
      <c r="B157" s="98" t="s">
        <v>224</v>
      </c>
      <c r="C157" s="93" t="s">
        <v>225</v>
      </c>
      <c r="D157" s="93" t="s">
        <v>184</v>
      </c>
      <c r="E157" s="2">
        <v>150</v>
      </c>
      <c r="F157" s="3" t="s">
        <v>226</v>
      </c>
      <c r="G157" s="17">
        <v>0</v>
      </c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>
        <f t="shared" si="9"/>
        <v>0</v>
      </c>
    </row>
    <row r="158" spans="2:21" ht="15.6" x14ac:dyDescent="0.3">
      <c r="B158" s="99"/>
      <c r="C158" s="93"/>
      <c r="D158" s="93"/>
      <c r="E158" s="2">
        <v>151</v>
      </c>
      <c r="F158" s="3" t="s">
        <v>227</v>
      </c>
      <c r="G158" s="17">
        <v>343.8</v>
      </c>
      <c r="H158" s="17">
        <v>39</v>
      </c>
      <c r="I158" s="17">
        <v>18</v>
      </c>
      <c r="J158" s="17">
        <v>33</v>
      </c>
      <c r="K158" s="17">
        <v>10.8</v>
      </c>
      <c r="L158" s="17">
        <v>41.4</v>
      </c>
      <c r="M158" s="17">
        <v>41.4</v>
      </c>
      <c r="N158" s="17">
        <v>12</v>
      </c>
      <c r="O158" s="17">
        <v>16.8</v>
      </c>
      <c r="P158" s="17">
        <v>41.4</v>
      </c>
      <c r="Q158" s="17">
        <v>27</v>
      </c>
      <c r="R158" s="17">
        <v>28.8</v>
      </c>
      <c r="S158" s="17">
        <v>34.200000000000003</v>
      </c>
      <c r="T158" s="17">
        <v>0</v>
      </c>
      <c r="U158" s="17">
        <f t="shared" si="9"/>
        <v>343.8</v>
      </c>
    </row>
    <row r="159" spans="2:21" ht="31.2" x14ac:dyDescent="0.3">
      <c r="B159" s="99"/>
      <c r="C159" s="93"/>
      <c r="D159" s="93"/>
      <c r="E159" s="2">
        <v>152</v>
      </c>
      <c r="F159" s="3" t="s">
        <v>228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f t="shared" si="9"/>
        <v>0</v>
      </c>
    </row>
    <row r="160" spans="2:21" ht="15.6" x14ac:dyDescent="0.3">
      <c r="B160" s="99"/>
      <c r="C160" s="93"/>
      <c r="D160" s="93"/>
      <c r="E160" s="2">
        <v>153</v>
      </c>
      <c r="F160" s="3" t="s">
        <v>229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f t="shared" si="9"/>
        <v>0</v>
      </c>
    </row>
    <row r="161" spans="2:21" ht="15.6" x14ac:dyDescent="0.3">
      <c r="B161" s="99"/>
      <c r="C161" s="93" t="s">
        <v>230</v>
      </c>
      <c r="D161" s="93" t="s">
        <v>231</v>
      </c>
      <c r="E161" s="2">
        <v>154</v>
      </c>
      <c r="F161" s="3" t="s">
        <v>232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f t="shared" si="9"/>
        <v>0</v>
      </c>
    </row>
    <row r="162" spans="2:21" ht="15.6" x14ac:dyDescent="0.3">
      <c r="B162" s="99"/>
      <c r="C162" s="93"/>
      <c r="D162" s="93"/>
      <c r="E162" s="2">
        <v>155</v>
      </c>
      <c r="F162" s="3" t="s">
        <v>233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f t="shared" si="9"/>
        <v>0</v>
      </c>
    </row>
    <row r="163" spans="2:21" ht="33" customHeight="1" x14ac:dyDescent="0.3">
      <c r="B163" s="99"/>
      <c r="C163" s="93"/>
      <c r="D163" s="93"/>
      <c r="E163" s="2">
        <v>156</v>
      </c>
      <c r="F163" s="3" t="s">
        <v>234</v>
      </c>
      <c r="G163" s="17">
        <v>2.75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2.75</v>
      </c>
      <c r="U163" s="17">
        <f t="shared" si="9"/>
        <v>2.75</v>
      </c>
    </row>
    <row r="164" spans="2:21" ht="15.6" x14ac:dyDescent="0.3">
      <c r="B164" s="99"/>
      <c r="C164" s="93"/>
      <c r="D164" s="93"/>
      <c r="E164" s="2">
        <v>157</v>
      </c>
      <c r="F164" s="3" t="s">
        <v>235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f t="shared" si="9"/>
        <v>0</v>
      </c>
    </row>
    <row r="165" spans="2:21" ht="31.2" x14ac:dyDescent="0.3">
      <c r="B165" s="99"/>
      <c r="C165" s="93"/>
      <c r="D165" s="93"/>
      <c r="E165" s="2">
        <v>158</v>
      </c>
      <c r="F165" s="3" t="s">
        <v>236</v>
      </c>
      <c r="G165" s="17">
        <v>70.98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70.98</v>
      </c>
      <c r="U165" s="17">
        <f t="shared" si="9"/>
        <v>70.98</v>
      </c>
    </row>
    <row r="166" spans="2:21" ht="35.25" customHeight="1" x14ac:dyDescent="0.3">
      <c r="B166" s="99"/>
      <c r="C166" s="93" t="s">
        <v>237</v>
      </c>
      <c r="D166" s="93" t="s">
        <v>189</v>
      </c>
      <c r="E166" s="2">
        <v>159</v>
      </c>
      <c r="F166" s="3" t="s">
        <v>238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f t="shared" si="9"/>
        <v>0</v>
      </c>
    </row>
    <row r="167" spans="2:21" ht="15.6" x14ac:dyDescent="0.3">
      <c r="B167" s="99"/>
      <c r="C167" s="93"/>
      <c r="D167" s="93"/>
      <c r="E167" s="2">
        <v>160</v>
      </c>
      <c r="F167" s="3" t="s">
        <v>239</v>
      </c>
      <c r="G167" s="17">
        <v>12.540000000000001</v>
      </c>
      <c r="H167" s="17">
        <v>0.9</v>
      </c>
      <c r="I167" s="17">
        <v>0.6</v>
      </c>
      <c r="J167" s="17">
        <v>1.2</v>
      </c>
      <c r="K167" s="17">
        <v>0.36</v>
      </c>
      <c r="L167" s="17">
        <v>2.04</v>
      </c>
      <c r="M167" s="17">
        <v>1.2</v>
      </c>
      <c r="N167" s="17">
        <v>0.36</v>
      </c>
      <c r="O167" s="17">
        <v>1.5</v>
      </c>
      <c r="P167" s="17">
        <v>0.96</v>
      </c>
      <c r="Q167" s="17">
        <v>1.32</v>
      </c>
      <c r="R167" s="17">
        <v>0.9</v>
      </c>
      <c r="S167" s="17">
        <v>1.2</v>
      </c>
      <c r="T167" s="17">
        <v>0</v>
      </c>
      <c r="U167" s="17">
        <f t="shared" si="9"/>
        <v>12.540000000000001</v>
      </c>
    </row>
    <row r="168" spans="2:21" ht="15.6" x14ac:dyDescent="0.3">
      <c r="B168" s="99"/>
      <c r="C168" s="93"/>
      <c r="D168" s="93"/>
      <c r="E168" s="2">
        <v>161</v>
      </c>
      <c r="F168" s="3" t="s">
        <v>192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f t="shared" si="9"/>
        <v>0</v>
      </c>
    </row>
    <row r="169" spans="2:21" ht="15.6" x14ac:dyDescent="0.3">
      <c r="B169" s="99"/>
      <c r="C169" s="93"/>
      <c r="D169" s="93"/>
      <c r="E169" s="2">
        <v>162</v>
      </c>
      <c r="F169" s="3" t="s">
        <v>193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f t="shared" si="9"/>
        <v>0</v>
      </c>
    </row>
    <row r="170" spans="2:21" ht="31.2" x14ac:dyDescent="0.3">
      <c r="B170" s="99"/>
      <c r="C170" s="93"/>
      <c r="D170" s="93"/>
      <c r="E170" s="2">
        <v>163</v>
      </c>
      <c r="F170" s="3" t="s">
        <v>240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f t="shared" si="9"/>
        <v>0</v>
      </c>
    </row>
    <row r="171" spans="2:21" ht="15.6" x14ac:dyDescent="0.3">
      <c r="B171" s="99"/>
      <c r="C171" s="93" t="s">
        <v>241</v>
      </c>
      <c r="D171" s="93" t="s">
        <v>242</v>
      </c>
      <c r="E171" s="2">
        <v>164</v>
      </c>
      <c r="F171" s="3" t="s">
        <v>243</v>
      </c>
      <c r="G171" s="17">
        <v>78.790000000000006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78.790000000000006</v>
      </c>
      <c r="U171" s="17">
        <f t="shared" si="9"/>
        <v>78.790000000000006</v>
      </c>
    </row>
    <row r="172" spans="2:21" ht="15.6" x14ac:dyDescent="0.3">
      <c r="B172" s="99"/>
      <c r="C172" s="93"/>
      <c r="D172" s="94"/>
      <c r="E172" s="2">
        <v>165</v>
      </c>
      <c r="F172" s="3" t="s">
        <v>244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f t="shared" si="9"/>
        <v>0</v>
      </c>
    </row>
    <row r="173" spans="2:21" ht="15.6" x14ac:dyDescent="0.3">
      <c r="B173" s="99"/>
      <c r="C173" s="93"/>
      <c r="D173" s="94"/>
      <c r="E173" s="2">
        <v>166</v>
      </c>
      <c r="F173" s="3" t="s">
        <v>245</v>
      </c>
      <c r="G173" s="17">
        <v>198.18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198.18</v>
      </c>
      <c r="U173" s="17">
        <f t="shared" si="9"/>
        <v>198.18</v>
      </c>
    </row>
    <row r="174" spans="2:21" ht="15.6" x14ac:dyDescent="0.3">
      <c r="B174" s="99"/>
      <c r="C174" s="93"/>
      <c r="D174" s="94"/>
      <c r="E174" s="2">
        <v>167</v>
      </c>
      <c r="F174" s="3" t="s">
        <v>246</v>
      </c>
      <c r="G174" s="17">
        <v>192.08999999999997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192.08999999999997</v>
      </c>
      <c r="U174" s="17">
        <f t="shared" si="9"/>
        <v>192.08999999999997</v>
      </c>
    </row>
    <row r="175" spans="2:21" ht="15.6" x14ac:dyDescent="0.3">
      <c r="B175" s="99"/>
      <c r="C175" s="93"/>
      <c r="D175" s="94"/>
      <c r="E175" s="2">
        <v>168</v>
      </c>
      <c r="F175" s="3" t="s">
        <v>247</v>
      </c>
      <c r="G175" s="17">
        <v>203.79000000000002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203.79000000000002</v>
      </c>
      <c r="U175" s="17">
        <f t="shared" si="9"/>
        <v>203.79000000000002</v>
      </c>
    </row>
    <row r="176" spans="2:21" ht="31.2" x14ac:dyDescent="0.3">
      <c r="B176" s="99"/>
      <c r="C176" s="93"/>
      <c r="D176" s="94"/>
      <c r="E176" s="2">
        <v>169</v>
      </c>
      <c r="F176" s="3" t="s">
        <v>248</v>
      </c>
      <c r="G176" s="17">
        <v>2702.0199999999995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2702.0199999999995</v>
      </c>
      <c r="U176" s="17">
        <f t="shared" si="9"/>
        <v>2702.0199999999995</v>
      </c>
    </row>
    <row r="177" spans="2:21" ht="48.75" customHeight="1" x14ac:dyDescent="0.3">
      <c r="B177" s="99"/>
      <c r="C177" s="93"/>
      <c r="D177" s="94"/>
      <c r="E177" s="2">
        <v>170</v>
      </c>
      <c r="F177" s="3" t="s">
        <v>249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f t="shared" si="9"/>
        <v>0</v>
      </c>
    </row>
    <row r="178" spans="2:21" ht="15.6" x14ac:dyDescent="0.3">
      <c r="B178" s="99"/>
      <c r="C178" s="93" t="s">
        <v>250</v>
      </c>
      <c r="D178" s="93" t="s">
        <v>251</v>
      </c>
      <c r="E178" s="2">
        <v>171</v>
      </c>
      <c r="F178" s="3" t="s">
        <v>252</v>
      </c>
      <c r="G178" s="17">
        <v>19</v>
      </c>
      <c r="H178" s="17">
        <v>9.5</v>
      </c>
      <c r="I178" s="17">
        <v>0</v>
      </c>
      <c r="J178" s="17">
        <v>9.5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f t="shared" si="9"/>
        <v>19</v>
      </c>
    </row>
    <row r="179" spans="2:21" ht="15.6" x14ac:dyDescent="0.3">
      <c r="B179" s="99"/>
      <c r="C179" s="94"/>
      <c r="D179" s="94"/>
      <c r="E179" s="2">
        <v>172</v>
      </c>
      <c r="F179" s="3" t="s">
        <v>253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f t="shared" si="9"/>
        <v>0</v>
      </c>
    </row>
    <row r="180" spans="2:21" ht="15.6" x14ac:dyDescent="0.3">
      <c r="B180" s="99"/>
      <c r="C180" s="94"/>
      <c r="D180" s="94"/>
      <c r="E180" s="2">
        <v>173</v>
      </c>
      <c r="F180" s="3" t="s">
        <v>254</v>
      </c>
      <c r="G180" s="17">
        <v>136.19999999999996</v>
      </c>
      <c r="H180" s="17">
        <v>11.35</v>
      </c>
      <c r="I180" s="17">
        <v>11.35</v>
      </c>
      <c r="J180" s="17">
        <v>11.35</v>
      </c>
      <c r="K180" s="17">
        <v>11.35</v>
      </c>
      <c r="L180" s="17">
        <v>11.35</v>
      </c>
      <c r="M180" s="17">
        <v>11.35</v>
      </c>
      <c r="N180" s="17">
        <v>11.35</v>
      </c>
      <c r="O180" s="17">
        <v>11.35</v>
      </c>
      <c r="P180" s="17">
        <v>11.35</v>
      </c>
      <c r="Q180" s="17">
        <v>11.35</v>
      </c>
      <c r="R180" s="17">
        <v>11.35</v>
      </c>
      <c r="S180" s="17">
        <v>11.35</v>
      </c>
      <c r="T180" s="17">
        <v>0</v>
      </c>
      <c r="U180" s="17">
        <f t="shared" si="9"/>
        <v>136.19999999999996</v>
      </c>
    </row>
    <row r="181" spans="2:21" ht="15.6" x14ac:dyDescent="0.3">
      <c r="B181" s="99"/>
      <c r="C181" s="94"/>
      <c r="D181" s="94"/>
      <c r="E181" s="2">
        <v>174</v>
      </c>
      <c r="F181" s="3" t="s">
        <v>255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f t="shared" si="9"/>
        <v>0</v>
      </c>
    </row>
    <row r="182" spans="2:21" ht="31.2" x14ac:dyDescent="0.3">
      <c r="B182" s="99"/>
      <c r="C182" s="93" t="s">
        <v>256</v>
      </c>
      <c r="D182" s="93" t="s">
        <v>202</v>
      </c>
      <c r="E182" s="2">
        <v>175</v>
      </c>
      <c r="F182" s="3" t="s">
        <v>203</v>
      </c>
      <c r="G182" s="17">
        <v>1085.1600000000001</v>
      </c>
      <c r="H182" s="17">
        <v>2.64</v>
      </c>
      <c r="I182" s="17">
        <v>2.64</v>
      </c>
      <c r="J182" s="17">
        <v>2.64</v>
      </c>
      <c r="K182" s="17">
        <v>2.64</v>
      </c>
      <c r="L182" s="17">
        <v>2.64</v>
      </c>
      <c r="M182" s="17">
        <v>2.64</v>
      </c>
      <c r="N182" s="17">
        <v>2.64</v>
      </c>
      <c r="O182" s="17">
        <v>2.64</v>
      </c>
      <c r="P182" s="17">
        <v>2.64</v>
      </c>
      <c r="Q182" s="17">
        <v>2.64</v>
      </c>
      <c r="R182" s="17">
        <v>2.64</v>
      </c>
      <c r="S182" s="17">
        <v>2.64</v>
      </c>
      <c r="T182" s="17">
        <v>1053.48</v>
      </c>
      <c r="U182" s="17">
        <f t="shared" si="9"/>
        <v>1085.1600000000001</v>
      </c>
    </row>
    <row r="183" spans="2:21" ht="15.6" x14ac:dyDescent="0.3">
      <c r="B183" s="99"/>
      <c r="C183" s="94"/>
      <c r="D183" s="94"/>
      <c r="E183" s="2">
        <v>176</v>
      </c>
      <c r="F183" s="3" t="s">
        <v>204</v>
      </c>
      <c r="G183" s="17">
        <v>147.5</v>
      </c>
      <c r="H183" s="17">
        <v>2</v>
      </c>
      <c r="I183" s="17">
        <v>2</v>
      </c>
      <c r="J183" s="17">
        <v>2</v>
      </c>
      <c r="K183" s="17">
        <v>2</v>
      </c>
      <c r="L183" s="17">
        <v>2</v>
      </c>
      <c r="M183" s="17">
        <v>2</v>
      </c>
      <c r="N183" s="17">
        <v>2</v>
      </c>
      <c r="O183" s="17">
        <v>2</v>
      </c>
      <c r="P183" s="17">
        <v>2</v>
      </c>
      <c r="Q183" s="17">
        <v>2</v>
      </c>
      <c r="R183" s="17">
        <v>2</v>
      </c>
      <c r="S183" s="17">
        <v>2</v>
      </c>
      <c r="T183" s="17">
        <v>123.5</v>
      </c>
      <c r="U183" s="17">
        <f t="shared" si="9"/>
        <v>147.5</v>
      </c>
    </row>
    <row r="184" spans="2:21" s="40" customFormat="1" ht="15.6" x14ac:dyDescent="0.3">
      <c r="B184" s="99"/>
      <c r="C184" s="94"/>
      <c r="D184" s="94"/>
      <c r="E184" s="38">
        <v>177</v>
      </c>
      <c r="F184" s="39" t="s">
        <v>205</v>
      </c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</row>
    <row r="185" spans="2:21" ht="31.2" x14ac:dyDescent="0.3">
      <c r="B185" s="99"/>
      <c r="C185" s="93" t="s">
        <v>257</v>
      </c>
      <c r="D185" s="93" t="s">
        <v>258</v>
      </c>
      <c r="E185" s="2">
        <v>178</v>
      </c>
      <c r="F185" s="3" t="s">
        <v>259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f t="shared" si="9"/>
        <v>0</v>
      </c>
    </row>
    <row r="186" spans="2:21" ht="15.6" x14ac:dyDescent="0.3">
      <c r="B186" s="99"/>
      <c r="C186" s="94"/>
      <c r="D186" s="94"/>
      <c r="E186" s="2">
        <v>179</v>
      </c>
      <c r="F186" s="3" t="s">
        <v>99</v>
      </c>
      <c r="G186" s="17">
        <v>81.900000000000006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81.900000000000006</v>
      </c>
      <c r="U186" s="17">
        <f t="shared" si="9"/>
        <v>81.900000000000006</v>
      </c>
    </row>
    <row r="187" spans="2:21" ht="15.6" x14ac:dyDescent="0.3">
      <c r="B187" s="99"/>
      <c r="C187" s="94"/>
      <c r="D187" s="94"/>
      <c r="E187" s="2">
        <v>180</v>
      </c>
      <c r="F187" s="3" t="s">
        <v>260</v>
      </c>
      <c r="G187" s="83">
        <v>616.09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83">
        <v>616.09</v>
      </c>
      <c r="U187" s="17">
        <f t="shared" si="9"/>
        <v>616.09</v>
      </c>
    </row>
    <row r="188" spans="2:21" ht="15.6" x14ac:dyDescent="0.3">
      <c r="B188" s="99"/>
      <c r="C188" s="94"/>
      <c r="D188" s="94"/>
      <c r="E188" s="2">
        <v>181</v>
      </c>
      <c r="F188" s="3" t="s">
        <v>261</v>
      </c>
      <c r="G188" s="17">
        <v>231.9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231.9</v>
      </c>
      <c r="U188" s="17">
        <f t="shared" si="9"/>
        <v>231.9</v>
      </c>
    </row>
    <row r="189" spans="2:21" ht="15.6" x14ac:dyDescent="0.3">
      <c r="B189" s="99"/>
      <c r="C189" s="94"/>
      <c r="D189" s="94"/>
      <c r="E189" s="2">
        <v>182</v>
      </c>
      <c r="F189" s="3" t="s">
        <v>262</v>
      </c>
      <c r="G189" s="17">
        <v>72.490000000000023</v>
      </c>
      <c r="H189" s="17">
        <v>6.59</v>
      </c>
      <c r="I189" s="17">
        <v>6.59</v>
      </c>
      <c r="J189" s="17">
        <v>6.59</v>
      </c>
      <c r="K189" s="17">
        <v>6.59</v>
      </c>
      <c r="L189" s="17">
        <v>6.59</v>
      </c>
      <c r="M189" s="17">
        <v>6.59</v>
      </c>
      <c r="N189" s="17">
        <v>0</v>
      </c>
      <c r="O189" s="17">
        <v>6.59</v>
      </c>
      <c r="P189" s="17">
        <v>6.59</v>
      </c>
      <c r="Q189" s="17">
        <v>6.59</v>
      </c>
      <c r="R189" s="17">
        <v>6.59</v>
      </c>
      <c r="S189" s="17">
        <v>6.59</v>
      </c>
      <c r="T189" s="17">
        <v>0</v>
      </c>
      <c r="U189" s="17">
        <f t="shared" si="9"/>
        <v>72.490000000000023</v>
      </c>
    </row>
    <row r="190" spans="2:21" s="40" customFormat="1" ht="31.2" x14ac:dyDescent="0.3">
      <c r="B190" s="99"/>
      <c r="C190" s="94"/>
      <c r="D190" s="94"/>
      <c r="E190" s="38">
        <v>183</v>
      </c>
      <c r="F190" s="39" t="s">
        <v>263</v>
      </c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</row>
    <row r="191" spans="2:21" ht="33" customHeight="1" x14ac:dyDescent="0.3">
      <c r="B191" s="99"/>
      <c r="C191" s="5" t="s">
        <v>264</v>
      </c>
      <c r="D191" s="5" t="s">
        <v>265</v>
      </c>
      <c r="E191" s="2">
        <v>184</v>
      </c>
      <c r="F191" s="3" t="s">
        <v>266</v>
      </c>
      <c r="G191" s="17">
        <v>368.09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368.09</v>
      </c>
      <c r="U191" s="17">
        <f t="shared" si="9"/>
        <v>368.09</v>
      </c>
    </row>
    <row r="192" spans="2:21" ht="15.6" x14ac:dyDescent="0.3">
      <c r="B192" s="99"/>
      <c r="C192" s="93" t="s">
        <v>267</v>
      </c>
      <c r="D192" s="93" t="s">
        <v>207</v>
      </c>
      <c r="E192" s="2">
        <v>185</v>
      </c>
      <c r="F192" s="3" t="s">
        <v>208</v>
      </c>
      <c r="G192" s="17">
        <v>6957.91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f>6578.47+379.44</f>
        <v>6957.91</v>
      </c>
      <c r="U192" s="17">
        <f t="shared" si="9"/>
        <v>6957.91</v>
      </c>
    </row>
    <row r="193" spans="2:21" ht="31.2" x14ac:dyDescent="0.3">
      <c r="B193" s="99"/>
      <c r="C193" s="93"/>
      <c r="D193" s="93"/>
      <c r="E193" s="2">
        <v>186</v>
      </c>
      <c r="F193" s="3" t="s">
        <v>209</v>
      </c>
      <c r="G193" s="17">
        <v>625.86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625.86</v>
      </c>
      <c r="U193" s="17">
        <f t="shared" si="9"/>
        <v>625.86</v>
      </c>
    </row>
    <row r="194" spans="2:21" ht="15.6" x14ac:dyDescent="0.3">
      <c r="B194" s="99"/>
      <c r="C194" s="93"/>
      <c r="D194" s="93"/>
      <c r="E194" s="2">
        <v>187</v>
      </c>
      <c r="F194" s="3" t="s">
        <v>268</v>
      </c>
      <c r="G194" s="17">
        <v>1422.59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1422.59</v>
      </c>
      <c r="U194" s="17">
        <f t="shared" si="9"/>
        <v>1422.59</v>
      </c>
    </row>
    <row r="195" spans="2:21" ht="15.6" x14ac:dyDescent="0.3">
      <c r="B195" s="99"/>
      <c r="C195" s="93"/>
      <c r="D195" s="93"/>
      <c r="E195" s="2">
        <v>188</v>
      </c>
      <c r="F195" s="3" t="s">
        <v>210</v>
      </c>
      <c r="G195" s="17">
        <v>956.8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956.8</v>
      </c>
      <c r="U195" s="17">
        <f t="shared" si="9"/>
        <v>956.8</v>
      </c>
    </row>
    <row r="196" spans="2:21" ht="31.2" x14ac:dyDescent="0.3">
      <c r="B196" s="99"/>
      <c r="C196" s="93"/>
      <c r="D196" s="93"/>
      <c r="E196" s="2">
        <v>189</v>
      </c>
      <c r="F196" s="3" t="s">
        <v>211</v>
      </c>
      <c r="G196" s="17">
        <v>6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f>5+1</f>
        <v>6</v>
      </c>
      <c r="U196" s="17">
        <f t="shared" si="9"/>
        <v>6</v>
      </c>
    </row>
    <row r="197" spans="2:21" s="40" customFormat="1" ht="31.2" x14ac:dyDescent="0.3">
      <c r="B197" s="99"/>
      <c r="C197" s="93"/>
      <c r="D197" s="93"/>
      <c r="E197" s="38">
        <v>190</v>
      </c>
      <c r="F197" s="39" t="s">
        <v>269</v>
      </c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</row>
    <row r="198" spans="2:21" ht="15.6" x14ac:dyDescent="0.3">
      <c r="B198" s="99"/>
      <c r="C198" s="93" t="s">
        <v>270</v>
      </c>
      <c r="D198" s="93" t="s">
        <v>271</v>
      </c>
      <c r="E198" s="2">
        <v>191</v>
      </c>
      <c r="F198" s="3" t="s">
        <v>272</v>
      </c>
      <c r="G198" s="17">
        <v>93.92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93.92</v>
      </c>
      <c r="U198" s="17">
        <f t="shared" ref="U198:U214" si="11">SUM(H198:T198)</f>
        <v>93.92</v>
      </c>
    </row>
    <row r="199" spans="2:21" ht="15.6" x14ac:dyDescent="0.3">
      <c r="B199" s="99"/>
      <c r="C199" s="94"/>
      <c r="D199" s="94"/>
      <c r="E199" s="2">
        <v>192</v>
      </c>
      <c r="F199" s="3" t="s">
        <v>273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f t="shared" si="11"/>
        <v>0</v>
      </c>
    </row>
    <row r="200" spans="2:21" ht="31.2" x14ac:dyDescent="0.3">
      <c r="B200" s="99"/>
      <c r="C200" s="93" t="s">
        <v>274</v>
      </c>
      <c r="D200" s="93" t="s">
        <v>213</v>
      </c>
      <c r="E200" s="2">
        <v>193</v>
      </c>
      <c r="F200" s="3" t="s">
        <v>275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f t="shared" si="11"/>
        <v>0</v>
      </c>
    </row>
    <row r="201" spans="2:21" ht="28.5" customHeight="1" x14ac:dyDescent="0.3">
      <c r="B201" s="99"/>
      <c r="C201" s="94"/>
      <c r="D201" s="93"/>
      <c r="E201" s="76">
        <v>194</v>
      </c>
      <c r="F201" s="77" t="s">
        <v>214</v>
      </c>
      <c r="G201" s="17">
        <v>1224.675</v>
      </c>
      <c r="H201" s="17">
        <f>PMC!F21</f>
        <v>41.488</v>
      </c>
      <c r="I201" s="17">
        <f>PMC!G21</f>
        <v>25.478000000000002</v>
      </c>
      <c r="J201" s="17">
        <f>PMC!H21</f>
        <v>35.186</v>
      </c>
      <c r="K201" s="17">
        <f>PMC!I21</f>
        <v>24.636000000000003</v>
      </c>
      <c r="L201" s="17">
        <f>PMC!J21</f>
        <v>38.704000000000001</v>
      </c>
      <c r="M201" s="17">
        <f>PMC!K21</f>
        <v>36.188000000000002</v>
      </c>
      <c r="N201" s="17">
        <f>PMC!L21</f>
        <v>9.3239999999999998</v>
      </c>
      <c r="O201" s="17">
        <f>PMC!M21</f>
        <v>25.103999999999999</v>
      </c>
      <c r="P201" s="17">
        <f>PMC!N21</f>
        <v>30.240000000000002</v>
      </c>
      <c r="Q201" s="17">
        <f>PMC!O21</f>
        <v>29.586000000000002</v>
      </c>
      <c r="R201" s="17">
        <f>PMC!P21</f>
        <v>29.694000000000003</v>
      </c>
      <c r="S201" s="17">
        <f>PMC!Q21</f>
        <v>32.751999999999995</v>
      </c>
      <c r="T201" s="17">
        <f>PMC!R21</f>
        <v>866.29499999999996</v>
      </c>
      <c r="U201" s="17">
        <f t="shared" si="11"/>
        <v>1224.675</v>
      </c>
    </row>
    <row r="202" spans="2:21" s="40" customFormat="1" ht="31.2" x14ac:dyDescent="0.3">
      <c r="B202" s="99"/>
      <c r="C202" s="95" t="s">
        <v>276</v>
      </c>
      <c r="D202" s="95" t="s">
        <v>277</v>
      </c>
      <c r="E202" s="38">
        <v>195</v>
      </c>
      <c r="F202" s="39" t="s">
        <v>278</v>
      </c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</row>
    <row r="203" spans="2:21" s="40" customFormat="1" ht="15.6" x14ac:dyDescent="0.3">
      <c r="B203" s="99"/>
      <c r="C203" s="96"/>
      <c r="D203" s="96"/>
      <c r="E203" s="38">
        <v>196</v>
      </c>
      <c r="F203" s="39" t="s">
        <v>279</v>
      </c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</row>
    <row r="204" spans="2:21" s="40" customFormat="1" ht="15.6" x14ac:dyDescent="0.3">
      <c r="B204" s="99"/>
      <c r="C204" s="96"/>
      <c r="D204" s="96"/>
      <c r="E204" s="38">
        <v>197</v>
      </c>
      <c r="F204" s="39" t="s">
        <v>280</v>
      </c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</row>
    <row r="205" spans="2:21" s="40" customFormat="1" ht="31.2" x14ac:dyDescent="0.3">
      <c r="B205" s="99"/>
      <c r="C205" s="38" t="s">
        <v>281</v>
      </c>
      <c r="D205" s="38" t="s">
        <v>218</v>
      </c>
      <c r="E205" s="38">
        <v>198</v>
      </c>
      <c r="F205" s="39" t="s">
        <v>219</v>
      </c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</row>
    <row r="206" spans="2:21" ht="21.75" customHeight="1" x14ac:dyDescent="0.3">
      <c r="B206" s="99"/>
      <c r="C206" s="5" t="s">
        <v>282</v>
      </c>
      <c r="D206" s="5" t="s">
        <v>221</v>
      </c>
      <c r="E206" s="2">
        <v>199</v>
      </c>
      <c r="F206" s="3" t="s">
        <v>222</v>
      </c>
      <c r="G206" s="17">
        <v>703.7</v>
      </c>
      <c r="H206" s="17">
        <v>77.300000000000011</v>
      </c>
      <c r="I206" s="17">
        <v>38.550000000000004</v>
      </c>
      <c r="J206" s="17">
        <v>66.400000000000006</v>
      </c>
      <c r="K206" s="17">
        <v>25.7</v>
      </c>
      <c r="L206" s="17">
        <v>80.5</v>
      </c>
      <c r="M206" s="17">
        <v>68.599999999999994</v>
      </c>
      <c r="N206" s="17">
        <v>23.75</v>
      </c>
      <c r="O206" s="17">
        <v>40.75</v>
      </c>
      <c r="P206" s="17">
        <v>86.3</v>
      </c>
      <c r="Q206" s="17">
        <v>53.85</v>
      </c>
      <c r="R206" s="17">
        <v>65.25</v>
      </c>
      <c r="S206" s="17">
        <v>76.75</v>
      </c>
      <c r="T206" s="17">
        <v>0</v>
      </c>
      <c r="U206" s="17">
        <f t="shared" si="11"/>
        <v>703.7</v>
      </c>
    </row>
    <row r="207" spans="2:21" ht="32.25" customHeight="1" x14ac:dyDescent="0.3">
      <c r="B207" s="99"/>
      <c r="C207" s="5" t="s">
        <v>283</v>
      </c>
      <c r="D207" s="5" t="s">
        <v>284</v>
      </c>
      <c r="E207" s="2">
        <v>200</v>
      </c>
      <c r="F207" s="3" t="s">
        <v>285</v>
      </c>
      <c r="G207" s="17">
        <v>16.2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16.2</v>
      </c>
      <c r="U207" s="17">
        <f t="shared" si="11"/>
        <v>16.2</v>
      </c>
    </row>
    <row r="208" spans="2:21" ht="48.75" customHeight="1" x14ac:dyDescent="0.3">
      <c r="B208" s="99"/>
      <c r="C208" s="5" t="s">
        <v>286</v>
      </c>
      <c r="D208" s="5" t="s">
        <v>287</v>
      </c>
      <c r="E208" s="2">
        <v>201</v>
      </c>
      <c r="F208" s="10" t="s">
        <v>288</v>
      </c>
      <c r="G208" s="17">
        <v>1012.9818</v>
      </c>
      <c r="H208" s="17">
        <f>'Trng-Capacity Bldg.'!G31</f>
        <v>62.8</v>
      </c>
      <c r="I208" s="17">
        <f>'Trng-Capacity Bldg.'!H31</f>
        <v>28.764500000000002</v>
      </c>
      <c r="J208" s="17">
        <f>'Trng-Capacity Bldg.'!I31</f>
        <v>49.3765</v>
      </c>
      <c r="K208" s="17">
        <f>'Trng-Capacity Bldg.'!J31</f>
        <v>25.242000000000001</v>
      </c>
      <c r="L208" s="17">
        <f>'Trng-Capacity Bldg.'!K31</f>
        <v>41.316500000000005</v>
      </c>
      <c r="M208" s="17">
        <f>'Trng-Capacity Bldg.'!L31</f>
        <v>44.023499999999999</v>
      </c>
      <c r="N208" s="17">
        <f>'Trng-Capacity Bldg.'!M31</f>
        <v>18.079000000000001</v>
      </c>
      <c r="O208" s="17">
        <f>'Trng-Capacity Bldg.'!N31</f>
        <v>29.252000000000002</v>
      </c>
      <c r="P208" s="17">
        <f>'Trng-Capacity Bldg.'!O31</f>
        <v>48.163999999999994</v>
      </c>
      <c r="Q208" s="17">
        <f>'Trng-Capacity Bldg.'!P31</f>
        <v>34.034500000000001</v>
      </c>
      <c r="R208" s="17">
        <f>'Trng-Capacity Bldg.'!Q31</f>
        <v>39.561500000000002</v>
      </c>
      <c r="S208" s="17">
        <f>'Trng-Capacity Bldg.'!R31</f>
        <v>59.419999999999987</v>
      </c>
      <c r="T208" s="17">
        <f>'Trng-Capacity Bldg.'!S31</f>
        <v>532.94780000000003</v>
      </c>
      <c r="U208" s="17">
        <f t="shared" si="11"/>
        <v>1012.9818</v>
      </c>
    </row>
    <row r="209" spans="2:21" ht="31.2" x14ac:dyDescent="0.3">
      <c r="B209" s="99"/>
      <c r="C209" s="5" t="s">
        <v>289</v>
      </c>
      <c r="D209" s="5" t="s">
        <v>290</v>
      </c>
      <c r="E209" s="2">
        <v>202</v>
      </c>
      <c r="F209" s="10" t="s">
        <v>291</v>
      </c>
      <c r="G209" s="17">
        <v>940.36341999999991</v>
      </c>
      <c r="H209" s="17">
        <f>'ASHA Incentives'!G20</f>
        <v>118.73718925084582</v>
      </c>
      <c r="I209" s="17">
        <f>'ASHA Incentives'!H20</f>
        <v>49.515361150314163</v>
      </c>
      <c r="J209" s="17">
        <f>'ASHA Incentives'!I20</f>
        <v>71.639484272595453</v>
      </c>
      <c r="K209" s="17">
        <f>'ASHA Incentives'!J20</f>
        <v>43.135636094731751</v>
      </c>
      <c r="L209" s="17">
        <f>'ASHA Incentives'!K20</f>
        <v>98.408926611889797</v>
      </c>
      <c r="M209" s="17">
        <f>'ASHA Incentives'!L20</f>
        <v>71.221934122764623</v>
      </c>
      <c r="N209" s="17">
        <f>'ASHA Incentives'!M20</f>
        <v>23.740435872402127</v>
      </c>
      <c r="O209" s="17">
        <f>'ASHA Incentives'!N20</f>
        <v>50.751650294828423</v>
      </c>
      <c r="P209" s="17">
        <f>'ASHA Incentives'!O20</f>
        <v>59.40918981150314</v>
      </c>
      <c r="Q209" s="17">
        <f>'ASHA Incentives'!P20</f>
        <v>57.473863305944896</v>
      </c>
      <c r="R209" s="17">
        <f>'ASHA Incentives'!Q20</f>
        <v>72.584701111648144</v>
      </c>
      <c r="S209" s="17">
        <f>'ASHA Incentives'!R20</f>
        <v>70.206408100531661</v>
      </c>
      <c r="T209" s="17">
        <f>'ASHA Incentives'!S20</f>
        <v>153.53863999999999</v>
      </c>
      <c r="U209" s="17">
        <f t="shared" si="11"/>
        <v>940.36341999999991</v>
      </c>
    </row>
    <row r="210" spans="2:21" ht="62.4" x14ac:dyDescent="0.3">
      <c r="B210" s="99"/>
      <c r="C210" s="5" t="s">
        <v>292</v>
      </c>
      <c r="D210" s="5" t="s">
        <v>293</v>
      </c>
      <c r="E210" s="2">
        <v>203</v>
      </c>
      <c r="F210" s="10" t="s">
        <v>294</v>
      </c>
      <c r="G210" s="17">
        <v>273.89999999999998</v>
      </c>
      <c r="H210" s="17">
        <f>'IT Interventions'!G19</f>
        <v>5.09</v>
      </c>
      <c r="I210" s="17">
        <f>'IT Interventions'!H19</f>
        <v>5.09</v>
      </c>
      <c r="J210" s="17">
        <f>'IT Interventions'!I19</f>
        <v>5.09</v>
      </c>
      <c r="K210" s="17">
        <f>'IT Interventions'!J19</f>
        <v>5.09</v>
      </c>
      <c r="L210" s="17">
        <f>'IT Interventions'!K19</f>
        <v>5.09</v>
      </c>
      <c r="M210" s="17">
        <f>'IT Interventions'!L19</f>
        <v>5.09</v>
      </c>
      <c r="N210" s="17">
        <f>'IT Interventions'!M19</f>
        <v>5.09</v>
      </c>
      <c r="O210" s="17">
        <f>'IT Interventions'!N19</f>
        <v>5.09</v>
      </c>
      <c r="P210" s="17">
        <f>'IT Interventions'!O19</f>
        <v>5.09</v>
      </c>
      <c r="Q210" s="17">
        <f>'IT Interventions'!P19</f>
        <v>5.09</v>
      </c>
      <c r="R210" s="17">
        <f>'IT Interventions'!Q19</f>
        <v>5.09</v>
      </c>
      <c r="S210" s="17">
        <f>'IT Interventions'!R19</f>
        <v>5.09</v>
      </c>
      <c r="T210" s="17">
        <f>'IT Interventions'!S19</f>
        <v>212.82</v>
      </c>
      <c r="U210" s="17">
        <f t="shared" si="11"/>
        <v>273.89999999999998</v>
      </c>
    </row>
    <row r="211" spans="2:21" ht="31.2" x14ac:dyDescent="0.3">
      <c r="B211" s="99"/>
      <c r="C211" s="5" t="s">
        <v>295</v>
      </c>
      <c r="D211" s="5" t="s">
        <v>296</v>
      </c>
      <c r="E211" s="2">
        <v>204</v>
      </c>
      <c r="F211" s="10" t="s">
        <v>297</v>
      </c>
      <c r="G211" s="17">
        <v>722.60780000000011</v>
      </c>
      <c r="H211" s="17">
        <f>'IEC&amp; Printing'!G30</f>
        <v>32.419699999999999</v>
      </c>
      <c r="I211" s="17">
        <f>'IEC&amp; Printing'!H30</f>
        <v>22.176099999999998</v>
      </c>
      <c r="J211" s="17">
        <f>'IEC&amp; Printing'!I30</f>
        <v>31.383899999999997</v>
      </c>
      <c r="K211" s="17">
        <f>'IEC&amp; Printing'!J30</f>
        <v>22.039299999999997</v>
      </c>
      <c r="L211" s="17">
        <f>'IEC&amp; Printing'!K30</f>
        <v>29.269500000000001</v>
      </c>
      <c r="M211" s="17">
        <f>'IEC&amp; Printing'!L30</f>
        <v>29.9679</v>
      </c>
      <c r="N211" s="17">
        <f>'IEC&amp; Printing'!M30</f>
        <v>16.052499999999998</v>
      </c>
      <c r="O211" s="17">
        <f>'IEC&amp; Printing'!N30</f>
        <v>23.176499999999997</v>
      </c>
      <c r="P211" s="17">
        <f>'IEC&amp; Printing'!O30</f>
        <v>25.726700000000001</v>
      </c>
      <c r="Q211" s="17">
        <f>'IEC&amp; Printing'!P30</f>
        <v>27.454499999999999</v>
      </c>
      <c r="R211" s="17">
        <f>'IEC&amp; Printing'!Q30</f>
        <v>28.281300000000002</v>
      </c>
      <c r="S211" s="17">
        <f>'IEC&amp; Printing'!R30</f>
        <v>27.8613</v>
      </c>
      <c r="T211" s="17">
        <f>'IEC&amp; Printing'!S30</f>
        <v>406.79860000000008</v>
      </c>
      <c r="U211" s="17">
        <f t="shared" si="11"/>
        <v>722.60780000000011</v>
      </c>
    </row>
    <row r="212" spans="2:21" ht="33" customHeight="1" x14ac:dyDescent="0.3">
      <c r="B212" s="99"/>
      <c r="C212" s="5" t="s">
        <v>298</v>
      </c>
      <c r="D212" s="5" t="s">
        <v>265</v>
      </c>
      <c r="E212" s="2">
        <v>205</v>
      </c>
      <c r="F212" s="10" t="s">
        <v>299</v>
      </c>
      <c r="G212" s="17">
        <v>97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97</v>
      </c>
      <c r="U212" s="17">
        <f t="shared" si="11"/>
        <v>97</v>
      </c>
    </row>
    <row r="213" spans="2:21" ht="31.2" x14ac:dyDescent="0.3">
      <c r="B213" s="99"/>
      <c r="C213" s="5" t="s">
        <v>300</v>
      </c>
      <c r="D213" s="5" t="s">
        <v>218</v>
      </c>
      <c r="E213" s="2">
        <v>206</v>
      </c>
      <c r="F213" s="10" t="s">
        <v>301</v>
      </c>
      <c r="G213" s="17">
        <v>74.62</v>
      </c>
      <c r="H213" s="17">
        <f>Innovation!G20</f>
        <v>3.375</v>
      </c>
      <c r="I213" s="17">
        <f>Innovation!H20</f>
        <v>11.145</v>
      </c>
      <c r="J213" s="17">
        <f>Innovation!I20</f>
        <v>3</v>
      </c>
      <c r="K213" s="17">
        <f>Innovation!J20</f>
        <v>1.87</v>
      </c>
      <c r="L213" s="17">
        <f>Innovation!K20</f>
        <v>12.15</v>
      </c>
      <c r="M213" s="17">
        <f>Innovation!L20</f>
        <v>2.25</v>
      </c>
      <c r="N213" s="17">
        <f>Innovation!M20</f>
        <v>0</v>
      </c>
      <c r="O213" s="17">
        <f>Innovation!N20</f>
        <v>6.79</v>
      </c>
      <c r="P213" s="17">
        <f>Innovation!O20</f>
        <v>6.97</v>
      </c>
      <c r="Q213" s="17">
        <f>Innovation!P20</f>
        <v>2.25</v>
      </c>
      <c r="R213" s="17">
        <f>Innovation!Q20</f>
        <v>2.25</v>
      </c>
      <c r="S213" s="17">
        <f>Innovation!R20</f>
        <v>2.25</v>
      </c>
      <c r="T213" s="17">
        <f>Innovation!S20</f>
        <v>20.32</v>
      </c>
      <c r="U213" s="17">
        <f t="shared" si="11"/>
        <v>74.62</v>
      </c>
    </row>
    <row r="214" spans="2:21" s="25" customFormat="1" ht="15.6" x14ac:dyDescent="0.3">
      <c r="B214" s="100"/>
      <c r="C214" s="97" t="s">
        <v>302</v>
      </c>
      <c r="D214" s="97"/>
      <c r="E214" s="97"/>
      <c r="F214" s="24"/>
      <c r="G214" s="69">
        <f>SUM(G157:G213)</f>
        <v>21692.398020000004</v>
      </c>
      <c r="H214" s="69">
        <f t="shared" ref="H214:T214" si="12">SUM(H157:H213)</f>
        <v>413.18988925084579</v>
      </c>
      <c r="I214" s="69">
        <f t="shared" si="12"/>
        <v>221.89896115031419</v>
      </c>
      <c r="J214" s="69">
        <f t="shared" si="12"/>
        <v>328.3558842725954</v>
      </c>
      <c r="K214" s="69">
        <f t="shared" si="12"/>
        <v>181.45293609473174</v>
      </c>
      <c r="L214" s="69">
        <f t="shared" si="12"/>
        <v>371.45892661188975</v>
      </c>
      <c r="M214" s="69">
        <f t="shared" si="12"/>
        <v>322.52133412276459</v>
      </c>
      <c r="N214" s="69">
        <f t="shared" si="12"/>
        <v>124.38593587240213</v>
      </c>
      <c r="O214" s="69">
        <f t="shared" si="12"/>
        <v>221.79415029482843</v>
      </c>
      <c r="P214" s="69">
        <f t="shared" si="12"/>
        <v>326.83988981150316</v>
      </c>
      <c r="Q214" s="69">
        <f t="shared" si="12"/>
        <v>260.63886330594494</v>
      </c>
      <c r="R214" s="69">
        <f t="shared" si="12"/>
        <v>294.99150111164812</v>
      </c>
      <c r="S214" s="69">
        <f t="shared" si="12"/>
        <v>332.30970810053157</v>
      </c>
      <c r="T214" s="69">
        <f t="shared" si="12"/>
        <v>18292.560039999997</v>
      </c>
      <c r="U214" s="70">
        <f t="shared" si="11"/>
        <v>21692.398019999997</v>
      </c>
    </row>
    <row r="215" spans="2:21" ht="15.6" x14ac:dyDescent="0.3">
      <c r="B215" s="88" t="s">
        <v>303</v>
      </c>
      <c r="C215" s="88"/>
      <c r="D215" s="88"/>
      <c r="E215" s="88"/>
      <c r="F215" s="84"/>
      <c r="G215" s="85">
        <f>SUM(G66,G91,G132,G156,G214)</f>
        <v>28041.739140585687</v>
      </c>
      <c r="H215" s="85">
        <f t="shared" ref="H215:U215" si="13">SUM(H66,H91,H132,H156,H214)</f>
        <v>845.55581923288014</v>
      </c>
      <c r="I215" s="85">
        <f t="shared" si="13"/>
        <v>350.99962424310752</v>
      </c>
      <c r="J215" s="85">
        <f t="shared" si="13"/>
        <v>590.94177774631601</v>
      </c>
      <c r="K215" s="85">
        <f t="shared" si="13"/>
        <v>292.57594559558555</v>
      </c>
      <c r="L215" s="85">
        <f t="shared" si="13"/>
        <v>599.10135749267886</v>
      </c>
      <c r="M215" s="85">
        <f t="shared" si="13"/>
        <v>525.96572931939284</v>
      </c>
      <c r="N215" s="85">
        <f t="shared" si="13"/>
        <v>223.76350722174743</v>
      </c>
      <c r="O215" s="85">
        <f t="shared" si="13"/>
        <v>339.7707015239834</v>
      </c>
      <c r="P215" s="85">
        <f t="shared" si="13"/>
        <v>488.79261272537877</v>
      </c>
      <c r="Q215" s="85">
        <f t="shared" si="13"/>
        <v>443.91389751677883</v>
      </c>
      <c r="R215" s="85">
        <f t="shared" si="13"/>
        <v>482.86017203158474</v>
      </c>
      <c r="S215" s="85">
        <f t="shared" si="13"/>
        <v>507.13649593624677</v>
      </c>
      <c r="T215" s="85">
        <f t="shared" si="13"/>
        <v>22350.361499999995</v>
      </c>
      <c r="U215" s="85">
        <f t="shared" si="13"/>
        <v>28041.739140585676</v>
      </c>
    </row>
    <row r="217" spans="2:21" ht="15.6" x14ac:dyDescent="0.3">
      <c r="E217" s="11" t="s">
        <v>365</v>
      </c>
      <c r="F217" s="86" t="s">
        <v>320</v>
      </c>
      <c r="G217" s="87">
        <v>2800</v>
      </c>
    </row>
    <row r="218" spans="2:21" x14ac:dyDescent="0.3">
      <c r="E218" s="11" t="s">
        <v>366</v>
      </c>
      <c r="F218" s="87" t="s">
        <v>357</v>
      </c>
      <c r="G218" s="87">
        <v>2398</v>
      </c>
    </row>
    <row r="220" spans="2:21" x14ac:dyDescent="0.3">
      <c r="F220" s="14"/>
      <c r="G220" s="78"/>
    </row>
    <row r="223" spans="2:21" x14ac:dyDescent="0.3">
      <c r="G223" s="15"/>
    </row>
    <row r="228" spans="7:12" x14ac:dyDescent="0.3">
      <c r="G228" s="14"/>
    </row>
    <row r="229" spans="7:12" x14ac:dyDescent="0.3">
      <c r="G229" s="14"/>
      <c r="I229" s="15"/>
      <c r="L229" s="15"/>
    </row>
    <row r="230" spans="7:12" x14ac:dyDescent="0.3">
      <c r="G230" s="14"/>
    </row>
    <row r="231" spans="7:12" x14ac:dyDescent="0.3">
      <c r="G231" s="14"/>
    </row>
    <row r="232" spans="7:12" x14ac:dyDescent="0.3">
      <c r="I232" s="15"/>
    </row>
    <row r="234" spans="7:12" x14ac:dyDescent="0.3">
      <c r="I234" s="15"/>
    </row>
  </sheetData>
  <sheetProtection algorithmName="SHA-512" hashValue="4/opW2F99x2K2ydkDg+Hr7UCFiM02oVcS8oxz0sovE4OR9ChQ0vRbl6P/Ky/ZRlq9qoQz94+7mKLhda7EF5B/w==" saltValue="KfaxcDR2HjXz3XoIMXvHFw==" spinCount="100000" sheet="1" objects="1" scenarios="1"/>
  <mergeCells count="89">
    <mergeCell ref="B2:B3"/>
    <mergeCell ref="C2:C3"/>
    <mergeCell ref="D2:D3"/>
    <mergeCell ref="E2:E3"/>
    <mergeCell ref="B4:B66"/>
    <mergeCell ref="C4:C21"/>
    <mergeCell ref="D4:D21"/>
    <mergeCell ref="C22:C23"/>
    <mergeCell ref="D22:D23"/>
    <mergeCell ref="C24:C34"/>
    <mergeCell ref="D24:D34"/>
    <mergeCell ref="C35:C37"/>
    <mergeCell ref="D35:D37"/>
    <mergeCell ref="C38:C44"/>
    <mergeCell ref="D38:D44"/>
    <mergeCell ref="C45:C54"/>
    <mergeCell ref="B67:B91"/>
    <mergeCell ref="C68:C72"/>
    <mergeCell ref="D68:D72"/>
    <mergeCell ref="C73:C76"/>
    <mergeCell ref="D73:D76"/>
    <mergeCell ref="C84:C87"/>
    <mergeCell ref="D84:D87"/>
    <mergeCell ref="C91:E91"/>
    <mergeCell ref="D45:D54"/>
    <mergeCell ref="C55:C64"/>
    <mergeCell ref="D55:D64"/>
    <mergeCell ref="C66:E66"/>
    <mergeCell ref="C77:C83"/>
    <mergeCell ref="D77:D83"/>
    <mergeCell ref="C104:C108"/>
    <mergeCell ref="D104:D108"/>
    <mergeCell ref="C109:C111"/>
    <mergeCell ref="D109:D111"/>
    <mergeCell ref="C112:C116"/>
    <mergeCell ref="D112:D116"/>
    <mergeCell ref="C117:C118"/>
    <mergeCell ref="D117:D118"/>
    <mergeCell ref="C120:C123"/>
    <mergeCell ref="D120:D123"/>
    <mergeCell ref="C126:C128"/>
    <mergeCell ref="D126:D128"/>
    <mergeCell ref="C129:C130"/>
    <mergeCell ref="D129:D130"/>
    <mergeCell ref="C132:E132"/>
    <mergeCell ref="B133:B156"/>
    <mergeCell ref="C133:C135"/>
    <mergeCell ref="D133:D135"/>
    <mergeCell ref="C136:C142"/>
    <mergeCell ref="D136:D142"/>
    <mergeCell ref="C143:C144"/>
    <mergeCell ref="D143:D144"/>
    <mergeCell ref="B92:B132"/>
    <mergeCell ref="C92:C101"/>
    <mergeCell ref="D92:D101"/>
    <mergeCell ref="C102:C103"/>
    <mergeCell ref="D102:D103"/>
    <mergeCell ref="C145:C147"/>
    <mergeCell ref="B157:B214"/>
    <mergeCell ref="C157:C160"/>
    <mergeCell ref="D157:D160"/>
    <mergeCell ref="C161:C165"/>
    <mergeCell ref="D161:D165"/>
    <mergeCell ref="C171:C177"/>
    <mergeCell ref="D171:D177"/>
    <mergeCell ref="C178:C181"/>
    <mergeCell ref="D178:D181"/>
    <mergeCell ref="C214:E214"/>
    <mergeCell ref="C148:C151"/>
    <mergeCell ref="D148:D151"/>
    <mergeCell ref="C156:E156"/>
    <mergeCell ref="C166:C170"/>
    <mergeCell ref="D166:D170"/>
    <mergeCell ref="B215:E215"/>
    <mergeCell ref="H2:T2"/>
    <mergeCell ref="B1:U1"/>
    <mergeCell ref="C198:C199"/>
    <mergeCell ref="D198:D199"/>
    <mergeCell ref="C200:C201"/>
    <mergeCell ref="D200:D201"/>
    <mergeCell ref="C202:C204"/>
    <mergeCell ref="D202:D204"/>
    <mergeCell ref="C182:C184"/>
    <mergeCell ref="D182:D184"/>
    <mergeCell ref="C185:C190"/>
    <mergeCell ref="D185:D190"/>
    <mergeCell ref="C192:C197"/>
    <mergeCell ref="D192:D197"/>
    <mergeCell ref="D145:D14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U34"/>
  <sheetViews>
    <sheetView topLeftCell="A13" zoomScale="80" zoomScaleNormal="80" workbookViewId="0">
      <selection activeCell="S40" sqref="S40"/>
    </sheetView>
  </sheetViews>
  <sheetFormatPr defaultRowHeight="14.4" x14ac:dyDescent="0.3"/>
  <cols>
    <col min="1" max="1" width="2.88671875" customWidth="1"/>
    <col min="5" max="5" width="45" customWidth="1"/>
    <col min="6" max="6" width="19.33203125" customWidth="1"/>
  </cols>
  <sheetData>
    <row r="3" spans="2:20" ht="15.6" x14ac:dyDescent="0.3">
      <c r="B3" s="102" t="s">
        <v>1</v>
      </c>
      <c r="C3" s="102" t="s">
        <v>2</v>
      </c>
      <c r="D3" s="102" t="s">
        <v>3</v>
      </c>
      <c r="E3" s="12" t="s">
        <v>4</v>
      </c>
      <c r="F3" s="18" t="s">
        <v>304</v>
      </c>
      <c r="G3" s="105" t="s">
        <v>321</v>
      </c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7"/>
      <c r="T3" s="19"/>
    </row>
    <row r="4" spans="2:20" ht="63.75" customHeight="1" x14ac:dyDescent="0.3">
      <c r="B4" s="103"/>
      <c r="C4" s="103"/>
      <c r="D4" s="103"/>
      <c r="E4" s="13"/>
      <c r="F4" s="20" t="s">
        <v>319</v>
      </c>
      <c r="G4" s="21" t="s">
        <v>305</v>
      </c>
      <c r="H4" s="21" t="s">
        <v>306</v>
      </c>
      <c r="I4" s="21" t="s">
        <v>307</v>
      </c>
      <c r="J4" s="21" t="s">
        <v>308</v>
      </c>
      <c r="K4" s="21" t="s">
        <v>309</v>
      </c>
      <c r="L4" s="21" t="s">
        <v>310</v>
      </c>
      <c r="M4" s="21" t="s">
        <v>311</v>
      </c>
      <c r="N4" s="21" t="s">
        <v>312</v>
      </c>
      <c r="O4" s="21" t="s">
        <v>313</v>
      </c>
      <c r="P4" s="21" t="s">
        <v>314</v>
      </c>
      <c r="Q4" s="21" t="s">
        <v>315</v>
      </c>
      <c r="R4" s="21" t="s">
        <v>316</v>
      </c>
      <c r="S4" s="22" t="s">
        <v>317</v>
      </c>
      <c r="T4" s="23" t="s">
        <v>318</v>
      </c>
    </row>
    <row r="5" spans="2:20" ht="65.25" customHeight="1" x14ac:dyDescent="0.3">
      <c r="B5" s="5" t="s">
        <v>286</v>
      </c>
      <c r="C5" s="5" t="s">
        <v>287</v>
      </c>
      <c r="D5" s="2">
        <v>201</v>
      </c>
      <c r="E5" s="10" t="s">
        <v>288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>
        <f t="shared" ref="T5" si="0">SUM(G5:S5)</f>
        <v>0</v>
      </c>
    </row>
    <row r="6" spans="2:20" ht="28.8" x14ac:dyDescent="0.3">
      <c r="B6" s="37"/>
      <c r="C6" s="37"/>
      <c r="D6" s="37"/>
      <c r="E6" s="44" t="s">
        <v>325</v>
      </c>
      <c r="F6" s="59">
        <v>1.1000000000000001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1.1000000000000001</v>
      </c>
      <c r="T6" s="60">
        <f>SUM(G6:S6)</f>
        <v>1.1000000000000001</v>
      </c>
    </row>
    <row r="7" spans="2:20" x14ac:dyDescent="0.3">
      <c r="B7" s="37"/>
      <c r="C7" s="37"/>
      <c r="D7" s="37"/>
      <c r="E7" s="37" t="s">
        <v>326</v>
      </c>
      <c r="F7" s="58">
        <v>38.943999999999996</v>
      </c>
      <c r="G7" s="51">
        <v>2.3879999999999999</v>
      </c>
      <c r="H7" s="51">
        <v>1.45</v>
      </c>
      <c r="I7" s="51">
        <v>2.3879999999999999</v>
      </c>
      <c r="J7" s="51">
        <v>1.45</v>
      </c>
      <c r="K7" s="51">
        <v>1.45</v>
      </c>
      <c r="L7" s="51">
        <v>2.3879999999999999</v>
      </c>
      <c r="M7" s="51">
        <v>1.45</v>
      </c>
      <c r="N7" s="51">
        <v>1.45</v>
      </c>
      <c r="O7" s="51">
        <v>1.45</v>
      </c>
      <c r="P7" s="51">
        <v>1.45</v>
      </c>
      <c r="Q7" s="51">
        <v>1.45</v>
      </c>
      <c r="R7" s="51">
        <v>1.45</v>
      </c>
      <c r="S7" s="51">
        <v>18.73</v>
      </c>
      <c r="T7" s="60">
        <f t="shared" ref="T7:T30" si="1">SUM(G7:S7)</f>
        <v>38.943999999999996</v>
      </c>
    </row>
    <row r="8" spans="2:20" x14ac:dyDescent="0.3">
      <c r="B8" s="37"/>
      <c r="C8" s="37"/>
      <c r="D8" s="37"/>
      <c r="E8" s="37" t="s">
        <v>327</v>
      </c>
      <c r="F8" s="58">
        <v>11.07</v>
      </c>
      <c r="G8" s="51">
        <v>0.25</v>
      </c>
      <c r="H8" s="51">
        <v>0.25</v>
      </c>
      <c r="I8" s="51">
        <v>0.25</v>
      </c>
      <c r="J8" s="51">
        <v>0.25</v>
      </c>
      <c r="K8" s="51">
        <v>0.25</v>
      </c>
      <c r="L8" s="51">
        <v>0.25</v>
      </c>
      <c r="M8" s="51"/>
      <c r="N8" s="51">
        <v>0.25</v>
      </c>
      <c r="O8" s="51">
        <v>0.25</v>
      </c>
      <c r="P8" s="51">
        <v>0.25</v>
      </c>
      <c r="Q8" s="51">
        <v>0.25</v>
      </c>
      <c r="R8" s="51">
        <v>0.25</v>
      </c>
      <c r="S8" s="51">
        <v>8.32</v>
      </c>
      <c r="T8" s="60">
        <f t="shared" si="1"/>
        <v>11.07</v>
      </c>
    </row>
    <row r="9" spans="2:20" x14ac:dyDescent="0.3">
      <c r="B9" s="37"/>
      <c r="C9" s="37"/>
      <c r="D9" s="37"/>
      <c r="E9" s="37" t="s">
        <v>328</v>
      </c>
      <c r="F9" s="58">
        <v>142.25150000000002</v>
      </c>
      <c r="G9" s="51">
        <f>3.59+1.278+1.758+1.472+1.298+2.06+0.6075</f>
        <v>12.063500000000001</v>
      </c>
      <c r="H9" s="51">
        <f>0.846+1.472+1.298+0.3885</f>
        <v>4.0045000000000002</v>
      </c>
      <c r="I9" s="51">
        <f>3.59+1.758+1.472+1.298+2.06+0.6075</f>
        <v>10.785500000000001</v>
      </c>
      <c r="J9" s="51">
        <f>0.846+1.472+1.298+2.06+0.3885</f>
        <v>6.0644999999999998</v>
      </c>
      <c r="K9" s="51">
        <f>1.854+1.472+1.298+2.06+0.717</f>
        <v>7.4010000000000007</v>
      </c>
      <c r="L9" s="51">
        <f>1.82+1.854+1.472+1.298+2.06+0.717</f>
        <v>9.2210000000000019</v>
      </c>
      <c r="M9" s="51">
        <v>2.06</v>
      </c>
      <c r="N9" s="51">
        <f>1.086+1.472+1.298+2.06+0.79</f>
        <v>6.7060000000000004</v>
      </c>
      <c r="O9" s="51">
        <f>14.481+2.718+1.472+1.298+2.06+0.6075</f>
        <v>22.636500000000002</v>
      </c>
      <c r="P9" s="51">
        <f>1.566+1.472+1.298+2.06+0.936</f>
        <v>7.3320000000000007</v>
      </c>
      <c r="Q9" s="51">
        <f>1.566+1.472+1.298+2.06+0.6075</f>
        <v>7.0035000000000007</v>
      </c>
      <c r="R9" s="51">
        <f>18.7745+1.662+1.472+1.298+2.06+0.717</f>
        <v>25.983499999999996</v>
      </c>
      <c r="S9" s="51">
        <f>6.2+14.79</f>
        <v>20.99</v>
      </c>
      <c r="T9" s="60">
        <f t="shared" si="1"/>
        <v>142.25150000000002</v>
      </c>
    </row>
    <row r="10" spans="2:20" x14ac:dyDescent="0.3">
      <c r="B10" s="37"/>
      <c r="C10" s="37"/>
      <c r="D10" s="37"/>
      <c r="E10" s="37" t="s">
        <v>329</v>
      </c>
      <c r="F10" s="61">
        <v>21.78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5">
        <v>21.78</v>
      </c>
      <c r="T10" s="60">
        <f t="shared" si="1"/>
        <v>21.78</v>
      </c>
    </row>
    <row r="11" spans="2:20" x14ac:dyDescent="0.3">
      <c r="B11" s="37"/>
      <c r="C11" s="37"/>
      <c r="D11" s="37"/>
      <c r="E11" s="37" t="s">
        <v>330</v>
      </c>
      <c r="F11" s="61">
        <v>36.400000000000006</v>
      </c>
      <c r="G11" s="55">
        <v>1.6</v>
      </c>
      <c r="H11" s="55">
        <v>1.6</v>
      </c>
      <c r="I11" s="55">
        <v>1.6</v>
      </c>
      <c r="J11" s="55">
        <v>0</v>
      </c>
      <c r="K11" s="55">
        <v>2.4</v>
      </c>
      <c r="L11" s="55">
        <v>3.2</v>
      </c>
      <c r="M11" s="55">
        <v>1.6</v>
      </c>
      <c r="N11" s="55">
        <v>0</v>
      </c>
      <c r="O11" s="55">
        <v>0</v>
      </c>
      <c r="P11" s="55">
        <v>0.8</v>
      </c>
      <c r="Q11" s="55">
        <v>1.6</v>
      </c>
      <c r="R11" s="55">
        <v>0</v>
      </c>
      <c r="S11" s="55">
        <v>22</v>
      </c>
      <c r="T11" s="60">
        <f t="shared" si="1"/>
        <v>36.400000000000006</v>
      </c>
    </row>
    <row r="12" spans="2:20" x14ac:dyDescent="0.3">
      <c r="B12" s="37"/>
      <c r="C12" s="37"/>
      <c r="D12" s="37"/>
      <c r="E12" s="37" t="s">
        <v>331</v>
      </c>
      <c r="F12" s="58">
        <v>39.839999999999996</v>
      </c>
      <c r="G12" s="51">
        <v>6.27</v>
      </c>
      <c r="H12" s="51">
        <v>0</v>
      </c>
      <c r="I12" s="51">
        <v>6.27</v>
      </c>
      <c r="J12" s="51">
        <v>0</v>
      </c>
      <c r="K12" s="51">
        <v>0</v>
      </c>
      <c r="L12" s="51">
        <v>3.9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23.4</v>
      </c>
      <c r="T12" s="60">
        <f t="shared" si="1"/>
        <v>39.839999999999996</v>
      </c>
    </row>
    <row r="13" spans="2:20" x14ac:dyDescent="0.3">
      <c r="B13" s="37"/>
      <c r="C13" s="37"/>
      <c r="D13" s="37"/>
      <c r="E13" s="37" t="s">
        <v>332</v>
      </c>
      <c r="F13" s="58">
        <v>70.599999999999994</v>
      </c>
      <c r="G13" s="51">
        <v>2.25</v>
      </c>
      <c r="H13" s="51">
        <v>2.25</v>
      </c>
      <c r="I13" s="51">
        <v>2.25</v>
      </c>
      <c r="J13" s="51">
        <v>2.25</v>
      </c>
      <c r="K13" s="51">
        <v>2.25</v>
      </c>
      <c r="L13" s="51">
        <v>2.25</v>
      </c>
      <c r="M13" s="51">
        <v>2.25</v>
      </c>
      <c r="N13" s="51">
        <v>2.25</v>
      </c>
      <c r="O13" s="51">
        <v>2.25</v>
      </c>
      <c r="P13" s="51">
        <v>2.25</v>
      </c>
      <c r="Q13" s="51">
        <v>2.25</v>
      </c>
      <c r="R13" s="51">
        <v>2.25</v>
      </c>
      <c r="S13" s="51">
        <v>43.6</v>
      </c>
      <c r="T13" s="60">
        <f t="shared" si="1"/>
        <v>70.599999999999994</v>
      </c>
    </row>
    <row r="14" spans="2:20" x14ac:dyDescent="0.3">
      <c r="B14" s="37"/>
      <c r="C14" s="37"/>
      <c r="D14" s="37"/>
      <c r="E14" s="37" t="s">
        <v>333</v>
      </c>
      <c r="F14" s="61">
        <v>24.85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24.85</v>
      </c>
      <c r="T14" s="60">
        <f t="shared" si="1"/>
        <v>24.85</v>
      </c>
    </row>
    <row r="15" spans="2:20" x14ac:dyDescent="0.3">
      <c r="B15" s="37"/>
      <c r="C15" s="37"/>
      <c r="D15" s="37"/>
      <c r="E15" s="37" t="s">
        <v>335</v>
      </c>
      <c r="F15" s="58">
        <v>7.85</v>
      </c>
      <c r="G15" s="51">
        <v>0.2</v>
      </c>
      <c r="H15" s="51">
        <v>0.2</v>
      </c>
      <c r="I15" s="51">
        <v>0.2</v>
      </c>
      <c r="J15" s="51">
        <v>0.2</v>
      </c>
      <c r="K15" s="51">
        <v>0.2</v>
      </c>
      <c r="L15" s="51">
        <v>0.2</v>
      </c>
      <c r="M15" s="51">
        <v>0.2</v>
      </c>
      <c r="N15" s="51">
        <v>0.2</v>
      </c>
      <c r="O15" s="51">
        <v>0.2</v>
      </c>
      <c r="P15" s="51">
        <v>0.2</v>
      </c>
      <c r="Q15" s="51">
        <v>0.2</v>
      </c>
      <c r="R15" s="51">
        <v>0.2</v>
      </c>
      <c r="S15" s="51">
        <v>5.45</v>
      </c>
      <c r="T15" s="60">
        <f t="shared" si="1"/>
        <v>7.85</v>
      </c>
    </row>
    <row r="16" spans="2:20" x14ac:dyDescent="0.3">
      <c r="B16" s="37"/>
      <c r="C16" s="37"/>
      <c r="D16" s="37"/>
      <c r="E16" s="37" t="s">
        <v>336</v>
      </c>
      <c r="F16" s="58">
        <v>2.8920000000000003</v>
      </c>
      <c r="G16" s="51">
        <v>0.11600000000000001</v>
      </c>
      <c r="H16" s="51">
        <v>0.11600000000000001</v>
      </c>
      <c r="I16" s="51">
        <v>0.11600000000000001</v>
      </c>
      <c r="J16" s="51">
        <v>0.11600000000000001</v>
      </c>
      <c r="K16" s="51">
        <v>0.11600000000000001</v>
      </c>
      <c r="L16" s="51">
        <v>0.11600000000000001</v>
      </c>
      <c r="M16" s="51">
        <v>0.11600000000000001</v>
      </c>
      <c r="N16" s="51">
        <v>0.11600000000000001</v>
      </c>
      <c r="O16" s="51">
        <v>0.11600000000000001</v>
      </c>
      <c r="P16" s="51">
        <v>0.11600000000000001</v>
      </c>
      <c r="Q16" s="51">
        <v>0.11600000000000001</v>
      </c>
      <c r="R16" s="51">
        <v>0.11600000000000001</v>
      </c>
      <c r="S16" s="51">
        <v>1.5</v>
      </c>
      <c r="T16" s="60">
        <f t="shared" si="1"/>
        <v>2.8920000000000003</v>
      </c>
    </row>
    <row r="17" spans="2:21" x14ac:dyDescent="0.3">
      <c r="B17" s="37"/>
      <c r="C17" s="37"/>
      <c r="D17" s="37"/>
      <c r="E17" s="37" t="s">
        <v>337</v>
      </c>
      <c r="F17" s="58">
        <v>10</v>
      </c>
      <c r="G17" s="51">
        <v>0.9</v>
      </c>
      <c r="H17" s="51"/>
      <c r="I17" s="51">
        <v>0.9</v>
      </c>
      <c r="J17" s="51">
        <v>0.9</v>
      </c>
      <c r="K17" s="51">
        <v>0.9</v>
      </c>
      <c r="L17" s="51">
        <v>0.9</v>
      </c>
      <c r="M17" s="51"/>
      <c r="N17" s="51">
        <v>0.9</v>
      </c>
      <c r="O17" s="51"/>
      <c r="P17" s="51"/>
      <c r="Q17" s="51">
        <v>0.9</v>
      </c>
      <c r="R17" s="51">
        <v>0.9</v>
      </c>
      <c r="S17" s="51">
        <v>2.8</v>
      </c>
      <c r="T17" s="60">
        <f t="shared" si="1"/>
        <v>10</v>
      </c>
    </row>
    <row r="18" spans="2:21" x14ac:dyDescent="0.3">
      <c r="B18" s="37"/>
      <c r="C18" s="37"/>
      <c r="D18" s="37"/>
      <c r="E18" s="37" t="s">
        <v>338</v>
      </c>
      <c r="F18" s="58">
        <v>12.6465</v>
      </c>
      <c r="G18" s="52">
        <v>1.8925000000000001</v>
      </c>
      <c r="H18" s="52">
        <v>0.71399999999999997</v>
      </c>
      <c r="I18" s="52">
        <v>0.872</v>
      </c>
      <c r="J18" s="52">
        <v>0.65649999999999997</v>
      </c>
      <c r="K18" s="53">
        <v>1.7444999999999999</v>
      </c>
      <c r="L18" s="52">
        <v>1.2484999999999999</v>
      </c>
      <c r="M18" s="52">
        <v>0.41799999999999998</v>
      </c>
      <c r="N18" s="52">
        <v>0.875</v>
      </c>
      <c r="O18" s="52">
        <v>0.89649999999999996</v>
      </c>
      <c r="P18" s="52">
        <v>0.90649999999999997</v>
      </c>
      <c r="Q18" s="52">
        <v>1.2170000000000001</v>
      </c>
      <c r="R18" s="52">
        <v>1.2055</v>
      </c>
      <c r="S18" s="51"/>
      <c r="T18" s="60">
        <f t="shared" si="1"/>
        <v>12.6465</v>
      </c>
    </row>
    <row r="19" spans="2:21" x14ac:dyDescent="0.3">
      <c r="B19" s="37"/>
      <c r="C19" s="37"/>
      <c r="D19" s="37"/>
      <c r="E19" s="37" t="s">
        <v>339</v>
      </c>
      <c r="F19" s="58">
        <v>41.92</v>
      </c>
      <c r="G19" s="51">
        <v>3.16</v>
      </c>
      <c r="H19" s="51">
        <v>3.16</v>
      </c>
      <c r="I19" s="51">
        <v>3.16</v>
      </c>
      <c r="J19" s="51">
        <v>3.16</v>
      </c>
      <c r="K19" s="51">
        <v>3.16</v>
      </c>
      <c r="L19" s="51">
        <v>3.16</v>
      </c>
      <c r="M19" s="51">
        <v>3.16</v>
      </c>
      <c r="N19" s="51">
        <v>3.16</v>
      </c>
      <c r="O19" s="51">
        <v>3.16</v>
      </c>
      <c r="P19" s="51">
        <v>3.16</v>
      </c>
      <c r="Q19" s="51">
        <v>3.16</v>
      </c>
      <c r="R19" s="51">
        <v>3.16</v>
      </c>
      <c r="S19" s="51">
        <v>4</v>
      </c>
      <c r="T19" s="60">
        <f t="shared" si="1"/>
        <v>41.92</v>
      </c>
    </row>
    <row r="20" spans="2:21" x14ac:dyDescent="0.3">
      <c r="B20" s="37"/>
      <c r="C20" s="37"/>
      <c r="D20" s="37"/>
      <c r="E20" s="37" t="s">
        <v>340</v>
      </c>
      <c r="F20" s="59">
        <v>35.700000000000003</v>
      </c>
      <c r="G20" s="62">
        <v>3.42</v>
      </c>
      <c r="H20" s="62">
        <v>1.52</v>
      </c>
      <c r="I20" s="62">
        <v>3.42</v>
      </c>
      <c r="J20" s="62">
        <v>1.52</v>
      </c>
      <c r="K20" s="62">
        <v>2.78</v>
      </c>
      <c r="L20" s="62">
        <v>3.41</v>
      </c>
      <c r="M20" s="62">
        <v>0.88</v>
      </c>
      <c r="N20" s="62">
        <v>1.52</v>
      </c>
      <c r="O20" s="62">
        <v>2.78</v>
      </c>
      <c r="P20" s="62">
        <v>2.78</v>
      </c>
      <c r="Q20" s="62">
        <v>2.78</v>
      </c>
      <c r="R20" s="62">
        <v>2.15</v>
      </c>
      <c r="S20" s="62">
        <v>6.74</v>
      </c>
      <c r="T20" s="60">
        <f t="shared" si="1"/>
        <v>35.700000000000003</v>
      </c>
    </row>
    <row r="21" spans="2:21" x14ac:dyDescent="0.3">
      <c r="B21" s="37"/>
      <c r="C21" s="37"/>
      <c r="D21" s="37"/>
      <c r="E21" s="37" t="s">
        <v>345</v>
      </c>
      <c r="F21" s="59">
        <v>9.5200000000000014</v>
      </c>
      <c r="G21" s="51">
        <f>2.96</f>
        <v>2.96</v>
      </c>
      <c r="H21" s="51">
        <v>0</v>
      </c>
      <c r="I21" s="51">
        <f>1.96</f>
        <v>1.96</v>
      </c>
      <c r="J21" s="51">
        <v>0</v>
      </c>
      <c r="K21" s="51">
        <f>0.84</f>
        <v>0.84</v>
      </c>
      <c r="L21" s="51">
        <f>0.98</f>
        <v>0.98</v>
      </c>
      <c r="M21" s="51">
        <v>0</v>
      </c>
      <c r="N21" s="51">
        <v>0</v>
      </c>
      <c r="O21" s="51">
        <v>0</v>
      </c>
      <c r="P21" s="51">
        <f>0.84</f>
        <v>0.84</v>
      </c>
      <c r="Q21" s="51">
        <f>1.06</f>
        <v>1.06</v>
      </c>
      <c r="R21" s="51">
        <f>0.88</f>
        <v>0.88</v>
      </c>
      <c r="S21" s="51">
        <v>0</v>
      </c>
      <c r="T21" s="60">
        <f t="shared" si="1"/>
        <v>9.5200000000000014</v>
      </c>
    </row>
    <row r="22" spans="2:21" x14ac:dyDescent="0.3">
      <c r="B22" s="37"/>
      <c r="C22" s="37"/>
      <c r="D22" s="37"/>
      <c r="E22" s="37" t="s">
        <v>346</v>
      </c>
      <c r="F22" s="58">
        <v>207.8998</v>
      </c>
      <c r="G22" s="17">
        <v>17.625</v>
      </c>
      <c r="H22" s="17">
        <v>8.8249999999999993</v>
      </c>
      <c r="I22" s="17">
        <v>8.5</v>
      </c>
      <c r="J22" s="17">
        <v>4</v>
      </c>
      <c r="K22" s="17">
        <v>11.6</v>
      </c>
      <c r="L22" s="17">
        <v>7.5750000000000002</v>
      </c>
      <c r="M22" s="17">
        <v>3.25</v>
      </c>
      <c r="N22" s="17">
        <v>7.1</v>
      </c>
      <c r="O22" s="17">
        <v>9.1999999999999993</v>
      </c>
      <c r="P22" s="17">
        <v>8.7249999999999996</v>
      </c>
      <c r="Q22" s="17">
        <v>12.35</v>
      </c>
      <c r="R22" s="17">
        <v>15.65</v>
      </c>
      <c r="S22" s="17">
        <v>93.499799999999993</v>
      </c>
      <c r="T22" s="60">
        <f t="shared" si="1"/>
        <v>207.8998</v>
      </c>
    </row>
    <row r="23" spans="2:21" x14ac:dyDescent="0.3">
      <c r="B23" s="37"/>
      <c r="C23" s="37"/>
      <c r="D23" s="37"/>
      <c r="E23" s="37" t="s">
        <v>347</v>
      </c>
      <c r="F23" s="58">
        <v>30</v>
      </c>
      <c r="G23" s="51">
        <v>2</v>
      </c>
      <c r="H23" s="51">
        <v>2</v>
      </c>
      <c r="I23" s="51">
        <v>2</v>
      </c>
      <c r="J23" s="51">
        <v>2</v>
      </c>
      <c r="K23" s="51">
        <v>2</v>
      </c>
      <c r="L23" s="51">
        <v>2</v>
      </c>
      <c r="M23" s="51">
        <v>2</v>
      </c>
      <c r="N23" s="51">
        <v>2</v>
      </c>
      <c r="O23" s="51">
        <v>2</v>
      </c>
      <c r="P23" s="51">
        <v>2</v>
      </c>
      <c r="Q23" s="51">
        <v>2</v>
      </c>
      <c r="R23" s="51">
        <v>2</v>
      </c>
      <c r="S23" s="51">
        <v>6</v>
      </c>
      <c r="T23" s="60">
        <f t="shared" si="1"/>
        <v>30</v>
      </c>
    </row>
    <row r="24" spans="2:21" x14ac:dyDescent="0.3">
      <c r="B24" s="37"/>
      <c r="C24" s="37"/>
      <c r="D24" s="37"/>
      <c r="E24" s="37" t="s">
        <v>348</v>
      </c>
      <c r="F24" s="58">
        <v>7.7900000000000009</v>
      </c>
      <c r="G24" s="51">
        <v>0.19500000000000001</v>
      </c>
      <c r="H24" s="51">
        <v>0.19500000000000001</v>
      </c>
      <c r="I24" s="51">
        <v>0.19500000000000001</v>
      </c>
      <c r="J24" s="51">
        <v>0.19500000000000001</v>
      </c>
      <c r="K24" s="51">
        <v>0.19500000000000001</v>
      </c>
      <c r="L24" s="51">
        <v>0.19500000000000001</v>
      </c>
      <c r="M24" s="51">
        <v>0.19500000000000001</v>
      </c>
      <c r="N24" s="51">
        <v>0.19500000000000001</v>
      </c>
      <c r="O24" s="51">
        <v>0.19500000000000001</v>
      </c>
      <c r="P24" s="51">
        <v>0.19500000000000001</v>
      </c>
      <c r="Q24" s="51">
        <v>0.19500000000000001</v>
      </c>
      <c r="R24" s="51">
        <v>0.19500000000000001</v>
      </c>
      <c r="S24" s="51">
        <v>5.45</v>
      </c>
      <c r="T24" s="60">
        <f t="shared" si="1"/>
        <v>7.7900000000000009</v>
      </c>
    </row>
    <row r="25" spans="2:21" x14ac:dyDescent="0.3">
      <c r="B25" s="37"/>
      <c r="C25" s="37"/>
      <c r="D25" s="37"/>
      <c r="E25" s="37" t="s">
        <v>355</v>
      </c>
      <c r="F25" s="67">
        <v>19.149999999999999</v>
      </c>
      <c r="G25" s="67">
        <v>1.51</v>
      </c>
      <c r="H25" s="67">
        <v>0.48</v>
      </c>
      <c r="I25" s="67">
        <v>1.51</v>
      </c>
      <c r="J25" s="67">
        <v>0.48</v>
      </c>
      <c r="K25" s="67">
        <v>1.03</v>
      </c>
      <c r="L25" s="67">
        <v>1.03</v>
      </c>
      <c r="M25" s="67"/>
      <c r="N25" s="67">
        <v>1.03</v>
      </c>
      <c r="O25" s="67">
        <v>1.03</v>
      </c>
      <c r="P25" s="67">
        <v>1.03</v>
      </c>
      <c r="Q25" s="67">
        <v>1.03</v>
      </c>
      <c r="R25" s="67">
        <v>1.03</v>
      </c>
      <c r="S25" s="67">
        <v>7.96</v>
      </c>
      <c r="T25" s="60">
        <f t="shared" si="1"/>
        <v>19.149999999999999</v>
      </c>
    </row>
    <row r="26" spans="2:21" x14ac:dyDescent="0.3">
      <c r="B26" s="37"/>
      <c r="C26" s="37"/>
      <c r="D26" s="37"/>
      <c r="E26" s="37" t="s">
        <v>358</v>
      </c>
      <c r="F26" s="37">
        <v>12.1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12.1</v>
      </c>
      <c r="T26" s="60">
        <f t="shared" si="1"/>
        <v>12.1</v>
      </c>
    </row>
    <row r="27" spans="2:21" x14ac:dyDescent="0.3">
      <c r="B27" s="37"/>
      <c r="C27" s="37"/>
      <c r="D27" s="37"/>
      <c r="E27" s="37" t="s">
        <v>359</v>
      </c>
      <c r="F27" s="11">
        <v>66.599999999999994</v>
      </c>
      <c r="G27" s="11">
        <v>4</v>
      </c>
      <c r="H27" s="11">
        <v>2</v>
      </c>
      <c r="I27" s="11">
        <v>3</v>
      </c>
      <c r="J27" s="11">
        <v>2</v>
      </c>
      <c r="K27" s="11">
        <v>3</v>
      </c>
      <c r="L27" s="11">
        <v>2</v>
      </c>
      <c r="M27" s="11">
        <v>0.5</v>
      </c>
      <c r="N27" s="11">
        <v>1.5</v>
      </c>
      <c r="O27" s="11">
        <v>2</v>
      </c>
      <c r="P27" s="11">
        <v>2</v>
      </c>
      <c r="Q27" s="11">
        <v>2</v>
      </c>
      <c r="R27" s="11">
        <v>2</v>
      </c>
      <c r="S27" s="11">
        <v>40.6</v>
      </c>
      <c r="T27" s="60">
        <f t="shared" si="1"/>
        <v>66.599999999999994</v>
      </c>
    </row>
    <row r="28" spans="2:21" x14ac:dyDescent="0.3">
      <c r="B28" s="37"/>
      <c r="C28" s="37"/>
      <c r="D28" s="37"/>
      <c r="E28" s="37" t="s">
        <v>360</v>
      </c>
      <c r="F28" s="37">
        <f>2.78+2.95</f>
        <v>5.73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f>2.78+2.95</f>
        <v>5.73</v>
      </c>
      <c r="T28" s="60">
        <f t="shared" si="1"/>
        <v>5.73</v>
      </c>
    </row>
    <row r="29" spans="2:21" x14ac:dyDescent="0.3">
      <c r="B29" s="37"/>
      <c r="C29" s="37"/>
      <c r="D29" s="37"/>
      <c r="E29" s="37" t="s">
        <v>361</v>
      </c>
      <c r="F29" s="37">
        <v>16.670000000000002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16.670000000000002</v>
      </c>
      <c r="T29" s="60">
        <f t="shared" si="1"/>
        <v>16.670000000000002</v>
      </c>
    </row>
    <row r="30" spans="2:21" x14ac:dyDescent="0.3">
      <c r="B30" s="37"/>
      <c r="C30" s="37"/>
      <c r="D30" s="37"/>
      <c r="E30" s="37" t="s">
        <v>354</v>
      </c>
      <c r="F30" s="37">
        <v>140.77799999999999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140.77799999999999</v>
      </c>
      <c r="T30" s="60">
        <f t="shared" si="1"/>
        <v>140.77799999999999</v>
      </c>
    </row>
    <row r="31" spans="2:21" x14ac:dyDescent="0.3">
      <c r="B31" s="37"/>
      <c r="C31" s="37"/>
      <c r="D31" s="37"/>
      <c r="E31" s="50" t="s">
        <v>353</v>
      </c>
      <c r="F31" s="60">
        <f>SUM(F7:F30)</f>
        <v>1012.9818</v>
      </c>
      <c r="G31" s="60">
        <f t="shared" ref="G31:T31" si="2">SUM(G7:G30)</f>
        <v>62.8</v>
      </c>
      <c r="H31" s="60">
        <f t="shared" si="2"/>
        <v>28.764500000000002</v>
      </c>
      <c r="I31" s="60">
        <f t="shared" si="2"/>
        <v>49.3765</v>
      </c>
      <c r="J31" s="60">
        <f t="shared" si="2"/>
        <v>25.242000000000001</v>
      </c>
      <c r="K31" s="60">
        <f t="shared" si="2"/>
        <v>41.316500000000005</v>
      </c>
      <c r="L31" s="60">
        <f t="shared" si="2"/>
        <v>44.023499999999999</v>
      </c>
      <c r="M31" s="60">
        <f t="shared" si="2"/>
        <v>18.079000000000001</v>
      </c>
      <c r="N31" s="60">
        <f t="shared" si="2"/>
        <v>29.252000000000002</v>
      </c>
      <c r="O31" s="60">
        <f t="shared" si="2"/>
        <v>48.163999999999994</v>
      </c>
      <c r="P31" s="60">
        <f t="shared" si="2"/>
        <v>34.034500000000001</v>
      </c>
      <c r="Q31" s="60">
        <f t="shared" si="2"/>
        <v>39.561500000000002</v>
      </c>
      <c r="R31" s="60">
        <f t="shared" si="2"/>
        <v>59.419999999999987</v>
      </c>
      <c r="S31" s="60">
        <f t="shared" si="2"/>
        <v>532.94780000000003</v>
      </c>
      <c r="T31" s="60">
        <f t="shared" si="2"/>
        <v>1012.9818</v>
      </c>
      <c r="U31" s="68"/>
    </row>
    <row r="32" spans="2:21" x14ac:dyDescent="0.3">
      <c r="B32" s="37"/>
      <c r="C32" s="37"/>
      <c r="D32" s="37"/>
      <c r="E32" s="50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68"/>
    </row>
    <row r="33" spans="2:20" x14ac:dyDescent="0.3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</row>
    <row r="34" spans="2:20" x14ac:dyDescent="0.3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</row>
  </sheetData>
  <mergeCells count="4">
    <mergeCell ref="B3:B4"/>
    <mergeCell ref="C3:C4"/>
    <mergeCell ref="D3:D4"/>
    <mergeCell ref="G3:S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20"/>
  <sheetViews>
    <sheetView topLeftCell="A4" zoomScale="80" zoomScaleNormal="80" workbookViewId="0">
      <selection activeCell="T27" sqref="T27"/>
    </sheetView>
  </sheetViews>
  <sheetFormatPr defaultRowHeight="14.4" x14ac:dyDescent="0.3"/>
  <cols>
    <col min="1" max="1" width="3" customWidth="1"/>
    <col min="5" max="5" width="17.5546875" customWidth="1"/>
    <col min="6" max="6" width="15.5546875" customWidth="1"/>
  </cols>
  <sheetData>
    <row r="2" spans="2:20" ht="31.2" x14ac:dyDescent="0.3">
      <c r="B2" s="108" t="s">
        <v>1</v>
      </c>
      <c r="C2" s="108" t="s">
        <v>2</v>
      </c>
      <c r="D2" s="108" t="s">
        <v>3</v>
      </c>
      <c r="E2" s="26" t="s">
        <v>4</v>
      </c>
      <c r="F2" s="27" t="s">
        <v>304</v>
      </c>
      <c r="G2" s="110" t="s">
        <v>321</v>
      </c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2"/>
      <c r="T2" s="28"/>
    </row>
    <row r="3" spans="2:20" ht="80.25" customHeight="1" x14ac:dyDescent="0.3">
      <c r="B3" s="109"/>
      <c r="C3" s="109"/>
      <c r="D3" s="109"/>
      <c r="E3" s="29"/>
      <c r="F3" s="30" t="s">
        <v>319</v>
      </c>
      <c r="G3" s="31" t="s">
        <v>305</v>
      </c>
      <c r="H3" s="31" t="s">
        <v>306</v>
      </c>
      <c r="I3" s="31" t="s">
        <v>307</v>
      </c>
      <c r="J3" s="31" t="s">
        <v>308</v>
      </c>
      <c r="K3" s="31" t="s">
        <v>309</v>
      </c>
      <c r="L3" s="31" t="s">
        <v>310</v>
      </c>
      <c r="M3" s="31" t="s">
        <v>311</v>
      </c>
      <c r="N3" s="31" t="s">
        <v>312</v>
      </c>
      <c r="O3" s="31" t="s">
        <v>313</v>
      </c>
      <c r="P3" s="31" t="s">
        <v>314</v>
      </c>
      <c r="Q3" s="31" t="s">
        <v>315</v>
      </c>
      <c r="R3" s="31" t="s">
        <v>316</v>
      </c>
      <c r="S3" s="32" t="s">
        <v>317</v>
      </c>
      <c r="T3" s="33" t="s">
        <v>318</v>
      </c>
    </row>
    <row r="4" spans="2:20" ht="61.5" customHeight="1" x14ac:dyDescent="0.3">
      <c r="B4" s="34" t="s">
        <v>289</v>
      </c>
      <c r="C4" s="34" t="s">
        <v>290</v>
      </c>
      <c r="D4" s="35">
        <v>202</v>
      </c>
      <c r="E4" s="36" t="s">
        <v>291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>
        <f t="shared" ref="T4" si="0">SUM(G4:S4)</f>
        <v>0</v>
      </c>
    </row>
    <row r="5" spans="2:20" x14ac:dyDescent="0.3">
      <c r="B5" s="37"/>
      <c r="C5" s="37"/>
      <c r="D5" s="37"/>
      <c r="E5" s="37" t="s">
        <v>326</v>
      </c>
      <c r="F5" s="51">
        <v>43.289999999999985</v>
      </c>
      <c r="G5" s="17">
        <v>3.33</v>
      </c>
      <c r="H5" s="17">
        <v>3.33</v>
      </c>
      <c r="I5" s="17">
        <v>3.33</v>
      </c>
      <c r="J5" s="17">
        <v>3.33</v>
      </c>
      <c r="K5" s="17">
        <v>3.33</v>
      </c>
      <c r="L5" s="17">
        <v>3.33</v>
      </c>
      <c r="M5" s="17">
        <v>3.33</v>
      </c>
      <c r="N5" s="17">
        <v>3.33</v>
      </c>
      <c r="O5" s="17">
        <v>3.33</v>
      </c>
      <c r="P5" s="17">
        <v>3.33</v>
      </c>
      <c r="Q5" s="17">
        <v>3.33</v>
      </c>
      <c r="R5" s="17">
        <v>3.33</v>
      </c>
      <c r="S5" s="17">
        <v>3.33</v>
      </c>
      <c r="T5" s="17">
        <f>SUM(G5:S5)</f>
        <v>43.289999999999985</v>
      </c>
    </row>
    <row r="6" spans="2:20" x14ac:dyDescent="0.3">
      <c r="B6" s="37"/>
      <c r="C6" s="37"/>
      <c r="D6" s="37"/>
      <c r="E6" s="37" t="s">
        <v>328</v>
      </c>
      <c r="F6" s="51">
        <v>99.722499999999997</v>
      </c>
      <c r="G6" s="17">
        <f>7.69+7.75+1+0.28+0.56+0.84+1.68</f>
        <v>19.8</v>
      </c>
      <c r="H6" s="17">
        <f>1.4975+1.5+0.138+0.276+0.414+0.828</f>
        <v>4.6535000000000002</v>
      </c>
      <c r="I6" s="17">
        <f>5.47+5.5+1+0.141+0.282+0.846+0.423</f>
        <v>13.661999999999999</v>
      </c>
      <c r="J6" s="17">
        <f>1.025+2+0.119+0.238+0.357+0.714</f>
        <v>4.4529999999999994</v>
      </c>
      <c r="K6" s="17">
        <f>5.075+0.29+0.58+1.74</f>
        <v>7.6850000000000005</v>
      </c>
      <c r="L6" s="17">
        <f>3.9125+4+0.8+0.196+0.392+1.176+0.588</f>
        <v>11.064499999999999</v>
      </c>
      <c r="M6" s="17">
        <f>1.1975+0.067+0.134+0.201+0.402</f>
        <v>2.0015000000000001</v>
      </c>
      <c r="N6" s="17">
        <f>1.9225+2+0.145+0.29+0.435+0.87</f>
        <v>5.6624999999999996</v>
      </c>
      <c r="O6" s="17">
        <f>3.305+0.186+0.372+0.558+1.116</f>
        <v>5.5370000000000008</v>
      </c>
      <c r="P6" s="17">
        <f>2.7875+4+0.137+0.274+0.411+0.822</f>
        <v>8.4314999999999998</v>
      </c>
      <c r="Q6" s="17">
        <f>3.365+3.25+0.193+0.386+1.74+0.87+0.579+1.158</f>
        <v>11.540999999999999</v>
      </c>
      <c r="R6" s="17">
        <f>2.855+0.198+0.396+0.594+1.188</f>
        <v>5.2309999999999999</v>
      </c>
      <c r="S6" s="17"/>
      <c r="T6" s="17">
        <f t="shared" ref="T6:T19" si="1">SUM(G6:S6)</f>
        <v>99.722499999999997</v>
      </c>
    </row>
    <row r="7" spans="2:20" x14ac:dyDescent="0.3">
      <c r="B7" s="37"/>
      <c r="C7" s="37"/>
      <c r="D7" s="37"/>
      <c r="E7" s="37" t="s">
        <v>330</v>
      </c>
      <c r="F7" s="55">
        <v>4.9800000000000004</v>
      </c>
      <c r="G7" s="45">
        <v>0.16</v>
      </c>
      <c r="H7" s="45">
        <v>1.48</v>
      </c>
      <c r="I7" s="45">
        <v>0.17</v>
      </c>
      <c r="J7" s="45">
        <v>1.22</v>
      </c>
      <c r="K7" s="45">
        <v>0.15</v>
      </c>
      <c r="L7" s="45">
        <v>0.14000000000000001</v>
      </c>
      <c r="M7" s="45">
        <v>1.22</v>
      </c>
      <c r="N7" s="45">
        <v>7.0000000000000007E-2</v>
      </c>
      <c r="O7" s="45">
        <v>0.05</v>
      </c>
      <c r="P7" s="45">
        <v>0.11</v>
      </c>
      <c r="Q7" s="45">
        <v>0.14000000000000001</v>
      </c>
      <c r="R7" s="45">
        <v>7.0000000000000007E-2</v>
      </c>
      <c r="S7" s="45">
        <v>0</v>
      </c>
      <c r="T7" s="17">
        <f t="shared" si="1"/>
        <v>4.9800000000000004</v>
      </c>
    </row>
    <row r="8" spans="2:20" x14ac:dyDescent="0.3">
      <c r="B8" s="37"/>
      <c r="C8" s="37"/>
      <c r="D8" s="37"/>
      <c r="E8" s="37" t="s">
        <v>331</v>
      </c>
      <c r="F8" s="56">
        <v>8.1999999999999993</v>
      </c>
      <c r="G8" s="54">
        <v>0.95</v>
      </c>
      <c r="H8" s="54">
        <v>0.52</v>
      </c>
      <c r="I8" s="54">
        <v>0.73</v>
      </c>
      <c r="J8" s="54">
        <v>0.31</v>
      </c>
      <c r="K8" s="54">
        <v>1.18</v>
      </c>
      <c r="L8" s="54">
        <v>0.8</v>
      </c>
      <c r="M8" s="54">
        <v>0.38</v>
      </c>
      <c r="N8" s="54">
        <v>0.56999999999999995</v>
      </c>
      <c r="O8" s="54">
        <v>0.67</v>
      </c>
      <c r="P8" s="54">
        <v>0.68</v>
      </c>
      <c r="Q8" s="54">
        <v>0.76</v>
      </c>
      <c r="R8" s="54">
        <v>0.65</v>
      </c>
      <c r="S8" s="54">
        <v>0</v>
      </c>
      <c r="T8" s="17">
        <f t="shared" si="1"/>
        <v>8.1999999999999993</v>
      </c>
    </row>
    <row r="9" spans="2:20" x14ac:dyDescent="0.3">
      <c r="B9" s="37"/>
      <c r="C9" s="37"/>
      <c r="D9" s="37"/>
      <c r="E9" s="37" t="s">
        <v>333</v>
      </c>
      <c r="F9" s="55">
        <v>42.634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42.634</v>
      </c>
      <c r="T9" s="17">
        <f t="shared" si="1"/>
        <v>42.634</v>
      </c>
    </row>
    <row r="10" spans="2:20" x14ac:dyDescent="0.3">
      <c r="B10" s="37"/>
      <c r="C10" s="37"/>
      <c r="D10" s="37"/>
      <c r="E10" s="37" t="s">
        <v>338</v>
      </c>
      <c r="F10" s="53">
        <v>19.999999999999996</v>
      </c>
      <c r="G10" s="47">
        <v>3.0449492508458187</v>
      </c>
      <c r="H10" s="47">
        <v>1.1309811503141614</v>
      </c>
      <c r="I10" s="47">
        <v>1.3436442725954565</v>
      </c>
      <c r="J10" s="47">
        <v>1.0343160947317545</v>
      </c>
      <c r="K10" s="47">
        <v>2.8032866118898014</v>
      </c>
      <c r="L10" s="47">
        <v>1.9526341227646205</v>
      </c>
      <c r="M10" s="47">
        <v>0.64765587240212663</v>
      </c>
      <c r="N10" s="47">
        <v>1.3823102948284196</v>
      </c>
      <c r="O10" s="47">
        <v>1.4113098115031415</v>
      </c>
      <c r="P10" s="47">
        <v>1.4016433059449007</v>
      </c>
      <c r="Q10" s="47">
        <v>1.9333011116481391</v>
      </c>
      <c r="R10" s="48">
        <v>1.9139681005316578</v>
      </c>
      <c r="S10" s="47"/>
      <c r="T10" s="17">
        <f t="shared" si="1"/>
        <v>19.999999999999996</v>
      </c>
    </row>
    <row r="11" spans="2:20" x14ac:dyDescent="0.3">
      <c r="B11" s="37"/>
      <c r="C11" s="37"/>
      <c r="D11" s="37"/>
      <c r="E11" s="37" t="s">
        <v>345</v>
      </c>
      <c r="F11" s="53">
        <v>62.639999999999993</v>
      </c>
      <c r="G11" s="17">
        <v>19.68</v>
      </c>
      <c r="H11" s="17"/>
      <c r="I11" s="17">
        <v>15.84</v>
      </c>
      <c r="J11" s="17"/>
      <c r="K11" s="17">
        <v>4.8</v>
      </c>
      <c r="L11" s="17">
        <v>5.76</v>
      </c>
      <c r="M11" s="17"/>
      <c r="N11" s="17"/>
      <c r="O11" s="17"/>
      <c r="P11" s="17">
        <v>6</v>
      </c>
      <c r="Q11" s="17">
        <v>5.52</v>
      </c>
      <c r="R11" s="17">
        <v>5.04</v>
      </c>
      <c r="S11" s="17"/>
      <c r="T11" s="17">
        <f t="shared" si="1"/>
        <v>62.639999999999993</v>
      </c>
    </row>
    <row r="12" spans="2:20" x14ac:dyDescent="0.3">
      <c r="B12" s="37"/>
      <c r="C12" s="37"/>
      <c r="D12" s="37"/>
      <c r="E12" s="37" t="s">
        <v>346</v>
      </c>
      <c r="F12" s="57">
        <v>608.89692000000014</v>
      </c>
      <c r="G12" s="17">
        <v>66.772239999999996</v>
      </c>
      <c r="H12" s="17">
        <v>35.400880000000001</v>
      </c>
      <c r="I12" s="17">
        <v>31.563839999999999</v>
      </c>
      <c r="J12" s="17">
        <v>29.788319999999999</v>
      </c>
      <c r="K12" s="17">
        <v>73.460639999999998</v>
      </c>
      <c r="L12" s="17">
        <v>45.174799999999998</v>
      </c>
      <c r="M12" s="17">
        <v>15.16128</v>
      </c>
      <c r="N12" s="17">
        <v>36.736840000000001</v>
      </c>
      <c r="O12" s="17">
        <v>44.410879999999999</v>
      </c>
      <c r="P12" s="17">
        <v>33.520719999999997</v>
      </c>
      <c r="Q12" s="17">
        <v>45.360399999999998</v>
      </c>
      <c r="R12" s="17">
        <v>49.971440000000001</v>
      </c>
      <c r="S12" s="17">
        <v>101.57464</v>
      </c>
      <c r="T12" s="17">
        <f t="shared" si="1"/>
        <v>608.89692000000014</v>
      </c>
    </row>
    <row r="13" spans="2:20" x14ac:dyDescent="0.3">
      <c r="B13" s="37"/>
      <c r="C13" s="37"/>
      <c r="D13" s="37"/>
      <c r="E13" s="37" t="s">
        <v>362</v>
      </c>
      <c r="F13" s="37">
        <v>6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6</v>
      </c>
      <c r="T13" s="17">
        <f t="shared" si="1"/>
        <v>6</v>
      </c>
    </row>
    <row r="14" spans="2:20" x14ac:dyDescent="0.3">
      <c r="B14" s="37"/>
      <c r="C14" s="37"/>
      <c r="D14" s="37"/>
      <c r="E14" s="37" t="s">
        <v>359</v>
      </c>
      <c r="F14" s="11">
        <v>44</v>
      </c>
      <c r="G14" s="11">
        <v>5</v>
      </c>
      <c r="H14" s="11">
        <v>3</v>
      </c>
      <c r="I14" s="11">
        <v>5</v>
      </c>
      <c r="J14" s="11">
        <v>3</v>
      </c>
      <c r="K14" s="11">
        <v>5</v>
      </c>
      <c r="L14" s="11">
        <v>3</v>
      </c>
      <c r="M14" s="11">
        <v>1</v>
      </c>
      <c r="N14" s="11">
        <v>3</v>
      </c>
      <c r="O14" s="11">
        <v>4</v>
      </c>
      <c r="P14" s="11">
        <v>4</v>
      </c>
      <c r="Q14" s="11">
        <v>4</v>
      </c>
      <c r="R14" s="11">
        <v>4</v>
      </c>
      <c r="S14" s="11">
        <v>0</v>
      </c>
      <c r="T14" s="17">
        <f t="shared" si="1"/>
        <v>44</v>
      </c>
    </row>
    <row r="15" spans="2:20" x14ac:dyDescent="0.3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17">
        <f t="shared" si="1"/>
        <v>0</v>
      </c>
    </row>
    <row r="16" spans="2:20" x14ac:dyDescent="0.3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17">
        <f t="shared" si="1"/>
        <v>0</v>
      </c>
    </row>
    <row r="17" spans="2:20" x14ac:dyDescent="0.3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17">
        <f t="shared" si="1"/>
        <v>0</v>
      </c>
    </row>
    <row r="18" spans="2:20" x14ac:dyDescent="0.3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17">
        <f t="shared" si="1"/>
        <v>0</v>
      </c>
    </row>
    <row r="19" spans="2:20" x14ac:dyDescent="0.3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17">
        <f t="shared" si="1"/>
        <v>0</v>
      </c>
    </row>
    <row r="20" spans="2:20" x14ac:dyDescent="0.3">
      <c r="B20" s="37"/>
      <c r="C20" s="37"/>
      <c r="D20" s="37"/>
      <c r="E20" s="37" t="s">
        <v>353</v>
      </c>
      <c r="F20" s="47">
        <f>SUM(F5:F19)</f>
        <v>940.36342000000013</v>
      </c>
      <c r="G20" s="47">
        <f t="shared" ref="G20:T20" si="2">SUM(G5:G19)</f>
        <v>118.73718925084582</v>
      </c>
      <c r="H20" s="47">
        <f t="shared" si="2"/>
        <v>49.515361150314163</v>
      </c>
      <c r="I20" s="47">
        <f t="shared" si="2"/>
        <v>71.639484272595453</v>
      </c>
      <c r="J20" s="47">
        <f t="shared" si="2"/>
        <v>43.135636094731751</v>
      </c>
      <c r="K20" s="47">
        <f t="shared" si="2"/>
        <v>98.408926611889797</v>
      </c>
      <c r="L20" s="47">
        <f t="shared" si="2"/>
        <v>71.221934122764623</v>
      </c>
      <c r="M20" s="47">
        <f t="shared" si="2"/>
        <v>23.740435872402127</v>
      </c>
      <c r="N20" s="47">
        <f t="shared" si="2"/>
        <v>50.751650294828423</v>
      </c>
      <c r="O20" s="47">
        <f t="shared" si="2"/>
        <v>59.40918981150314</v>
      </c>
      <c r="P20" s="47">
        <f t="shared" si="2"/>
        <v>57.473863305944896</v>
      </c>
      <c r="Q20" s="47">
        <f t="shared" si="2"/>
        <v>72.584701111648144</v>
      </c>
      <c r="R20" s="47">
        <f t="shared" si="2"/>
        <v>70.206408100531661</v>
      </c>
      <c r="S20" s="47">
        <f t="shared" si="2"/>
        <v>153.53863999999999</v>
      </c>
      <c r="T20" s="47">
        <f t="shared" si="2"/>
        <v>940.36342000000013</v>
      </c>
    </row>
  </sheetData>
  <mergeCells count="4">
    <mergeCell ref="B2:B3"/>
    <mergeCell ref="C2:C3"/>
    <mergeCell ref="D2:D3"/>
    <mergeCell ref="G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T20"/>
  <sheetViews>
    <sheetView topLeftCell="A4" zoomScale="80" zoomScaleNormal="80" workbookViewId="0">
      <selection activeCell="Q25" sqref="Q25"/>
    </sheetView>
  </sheetViews>
  <sheetFormatPr defaultColWidth="9.109375" defaultRowHeight="14.4" x14ac:dyDescent="0.3"/>
  <cols>
    <col min="1" max="1" width="2.6640625" style="1" customWidth="1"/>
    <col min="2" max="2" width="9.109375" style="1"/>
    <col min="3" max="3" width="12.109375" style="1" customWidth="1"/>
    <col min="4" max="4" width="9.109375" style="1"/>
    <col min="5" max="5" width="23" style="1" customWidth="1"/>
    <col min="6" max="6" width="15.5546875" style="1" customWidth="1"/>
    <col min="7" max="16384" width="9.109375" style="1"/>
  </cols>
  <sheetData>
    <row r="2" spans="2:20" ht="31.2" x14ac:dyDescent="0.3">
      <c r="B2" s="102" t="s">
        <v>1</v>
      </c>
      <c r="C2" s="102" t="s">
        <v>2</v>
      </c>
      <c r="D2" s="102" t="s">
        <v>3</v>
      </c>
      <c r="E2" s="12" t="s">
        <v>4</v>
      </c>
      <c r="F2" s="18" t="s">
        <v>304</v>
      </c>
      <c r="G2" s="105" t="s">
        <v>321</v>
      </c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7"/>
      <c r="T2" s="19"/>
    </row>
    <row r="3" spans="2:20" ht="79.5" customHeight="1" x14ac:dyDescent="0.3">
      <c r="B3" s="103"/>
      <c r="C3" s="103"/>
      <c r="D3" s="103"/>
      <c r="E3" s="13"/>
      <c r="F3" s="20" t="s">
        <v>319</v>
      </c>
      <c r="G3" s="21" t="s">
        <v>305</v>
      </c>
      <c r="H3" s="21" t="s">
        <v>306</v>
      </c>
      <c r="I3" s="21" t="s">
        <v>307</v>
      </c>
      <c r="J3" s="21" t="s">
        <v>308</v>
      </c>
      <c r="K3" s="21" t="s">
        <v>309</v>
      </c>
      <c r="L3" s="21" t="s">
        <v>310</v>
      </c>
      <c r="M3" s="21" t="s">
        <v>311</v>
      </c>
      <c r="N3" s="21" t="s">
        <v>312</v>
      </c>
      <c r="O3" s="21" t="s">
        <v>313</v>
      </c>
      <c r="P3" s="21" t="s">
        <v>314</v>
      </c>
      <c r="Q3" s="21" t="s">
        <v>315</v>
      </c>
      <c r="R3" s="21" t="s">
        <v>316</v>
      </c>
      <c r="S3" s="22" t="s">
        <v>317</v>
      </c>
      <c r="T3" s="23" t="s">
        <v>318</v>
      </c>
    </row>
    <row r="4" spans="2:20" ht="82.5" customHeight="1" x14ac:dyDescent="0.3">
      <c r="B4" s="5" t="s">
        <v>292</v>
      </c>
      <c r="C4" s="5" t="s">
        <v>293</v>
      </c>
      <c r="D4" s="2">
        <v>203</v>
      </c>
      <c r="E4" s="10" t="s">
        <v>294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>
        <f t="shared" ref="T4" si="0">SUM(G4:S4)</f>
        <v>0</v>
      </c>
    </row>
    <row r="5" spans="2:20" x14ac:dyDescent="0.3">
      <c r="B5" s="11"/>
      <c r="C5" s="11"/>
      <c r="D5" s="11"/>
      <c r="E5" s="11" t="s">
        <v>327</v>
      </c>
      <c r="F5" s="51">
        <v>6.75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6.75</v>
      </c>
      <c r="T5" s="43">
        <f>SUM(G5:S5)</f>
        <v>6.75</v>
      </c>
    </row>
    <row r="6" spans="2:20" x14ac:dyDescent="0.3">
      <c r="B6" s="11"/>
      <c r="C6" s="11"/>
      <c r="D6" s="11"/>
      <c r="E6" s="11" t="s">
        <v>329</v>
      </c>
      <c r="F6" s="55">
        <v>13.2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45">
        <v>13.2</v>
      </c>
      <c r="T6" s="43">
        <f t="shared" ref="T6:T18" si="1">SUM(G6:S6)</f>
        <v>13.2</v>
      </c>
    </row>
    <row r="7" spans="2:20" x14ac:dyDescent="0.3">
      <c r="B7" s="11"/>
      <c r="C7" s="11"/>
      <c r="D7" s="11"/>
      <c r="E7" s="11" t="s">
        <v>346</v>
      </c>
      <c r="F7" s="51">
        <v>14.4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14.4</v>
      </c>
      <c r="T7" s="43">
        <f t="shared" si="1"/>
        <v>14.4</v>
      </c>
    </row>
    <row r="8" spans="2:20" x14ac:dyDescent="0.3">
      <c r="B8" s="11"/>
      <c r="C8" s="11"/>
      <c r="D8" s="11"/>
      <c r="E8" s="11" t="s">
        <v>350</v>
      </c>
      <c r="F8" s="51">
        <v>61.080000000000013</v>
      </c>
      <c r="G8" s="17">
        <v>5.09</v>
      </c>
      <c r="H8" s="17">
        <v>5.09</v>
      </c>
      <c r="I8" s="17">
        <v>5.09</v>
      </c>
      <c r="J8" s="17">
        <v>5.09</v>
      </c>
      <c r="K8" s="17">
        <v>5.09</v>
      </c>
      <c r="L8" s="17">
        <v>5.09</v>
      </c>
      <c r="M8" s="17">
        <v>5.09</v>
      </c>
      <c r="N8" s="17">
        <v>5.09</v>
      </c>
      <c r="O8" s="17">
        <v>5.09</v>
      </c>
      <c r="P8" s="17">
        <v>5.09</v>
      </c>
      <c r="Q8" s="17">
        <v>5.09</v>
      </c>
      <c r="R8" s="17">
        <v>5.09</v>
      </c>
      <c r="S8" s="17"/>
      <c r="T8" s="43">
        <f>SUM(G8:S8)</f>
        <v>61.080000000000013</v>
      </c>
    </row>
    <row r="9" spans="2:20" x14ac:dyDescent="0.3">
      <c r="B9" s="11"/>
      <c r="C9" s="11"/>
      <c r="D9" s="11"/>
      <c r="E9" s="11" t="s">
        <v>349</v>
      </c>
      <c r="F9" s="51">
        <v>1.92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1.92</v>
      </c>
      <c r="T9" s="43">
        <f t="shared" si="1"/>
        <v>1.92</v>
      </c>
    </row>
    <row r="10" spans="2:20" x14ac:dyDescent="0.3">
      <c r="B10" s="11"/>
      <c r="C10" s="11"/>
      <c r="D10" s="11"/>
      <c r="E10" s="11" t="s">
        <v>359</v>
      </c>
      <c r="F10" s="17">
        <v>19.25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19.25</v>
      </c>
      <c r="T10" s="43">
        <f t="shared" si="1"/>
        <v>19.25</v>
      </c>
    </row>
    <row r="11" spans="2:20" x14ac:dyDescent="0.3">
      <c r="B11" s="11"/>
      <c r="C11" s="11"/>
      <c r="D11" s="11"/>
      <c r="E11" s="11" t="s">
        <v>361</v>
      </c>
      <c r="F11" s="11">
        <f>57.86</f>
        <v>57.86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1">
        <f>57.86</f>
        <v>57.86</v>
      </c>
      <c r="T11" s="43">
        <f t="shared" si="1"/>
        <v>57.86</v>
      </c>
    </row>
    <row r="12" spans="2:20" x14ac:dyDescent="0.3">
      <c r="B12" s="11"/>
      <c r="C12" s="11"/>
      <c r="D12" s="11"/>
      <c r="E12" s="11" t="s">
        <v>364</v>
      </c>
      <c r="F12" s="11">
        <f>27.73+20.06</f>
        <v>47.79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1">
        <f>27.73+20.06</f>
        <v>47.79</v>
      </c>
      <c r="T12" s="43">
        <f t="shared" si="1"/>
        <v>47.79</v>
      </c>
    </row>
    <row r="13" spans="2:20" x14ac:dyDescent="0.3">
      <c r="B13" s="11"/>
      <c r="C13" s="11"/>
      <c r="D13" s="11"/>
      <c r="E13" s="11" t="s">
        <v>354</v>
      </c>
      <c r="F13" s="11">
        <f>14.4+18</f>
        <v>32.4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1">
        <f>14.4+18</f>
        <v>32.4</v>
      </c>
      <c r="T13" s="43">
        <f t="shared" si="1"/>
        <v>32.4</v>
      </c>
    </row>
    <row r="14" spans="2:20" x14ac:dyDescent="0.3">
      <c r="B14" s="11"/>
      <c r="C14" s="11"/>
      <c r="D14" s="11"/>
      <c r="E14" s="11" t="s">
        <v>359</v>
      </c>
      <c r="F14" s="11">
        <v>19.25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19.25</v>
      </c>
      <c r="T14" s="43">
        <f t="shared" si="1"/>
        <v>19.25</v>
      </c>
    </row>
    <row r="15" spans="2:20" x14ac:dyDescent="0.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43">
        <f t="shared" si="1"/>
        <v>0</v>
      </c>
    </row>
    <row r="16" spans="2:20" x14ac:dyDescent="0.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43">
        <f t="shared" si="1"/>
        <v>0</v>
      </c>
    </row>
    <row r="17" spans="2:20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43">
        <f t="shared" si="1"/>
        <v>0</v>
      </c>
    </row>
    <row r="18" spans="2:20" x14ac:dyDescent="0.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43">
        <f t="shared" si="1"/>
        <v>0</v>
      </c>
    </row>
    <row r="19" spans="2:20" x14ac:dyDescent="0.3">
      <c r="B19" s="11"/>
      <c r="C19" s="11"/>
      <c r="D19" s="11"/>
      <c r="E19" s="16" t="s">
        <v>353</v>
      </c>
      <c r="F19" s="43">
        <f>SUM(F5:F17)</f>
        <v>273.89999999999998</v>
      </c>
      <c r="G19" s="43">
        <f t="shared" ref="G19:T19" si="2">SUM(G5:G17)</f>
        <v>5.09</v>
      </c>
      <c r="H19" s="43">
        <f t="shared" si="2"/>
        <v>5.09</v>
      </c>
      <c r="I19" s="43">
        <f t="shared" si="2"/>
        <v>5.09</v>
      </c>
      <c r="J19" s="43">
        <f t="shared" si="2"/>
        <v>5.09</v>
      </c>
      <c r="K19" s="43">
        <f t="shared" si="2"/>
        <v>5.09</v>
      </c>
      <c r="L19" s="43">
        <f t="shared" si="2"/>
        <v>5.09</v>
      </c>
      <c r="M19" s="43">
        <f t="shared" si="2"/>
        <v>5.09</v>
      </c>
      <c r="N19" s="43">
        <f t="shared" si="2"/>
        <v>5.09</v>
      </c>
      <c r="O19" s="43">
        <f t="shared" si="2"/>
        <v>5.09</v>
      </c>
      <c r="P19" s="43">
        <f t="shared" si="2"/>
        <v>5.09</v>
      </c>
      <c r="Q19" s="43">
        <f t="shared" si="2"/>
        <v>5.09</v>
      </c>
      <c r="R19" s="43">
        <f t="shared" si="2"/>
        <v>5.09</v>
      </c>
      <c r="S19" s="43">
        <f t="shared" si="2"/>
        <v>212.82</v>
      </c>
      <c r="T19" s="43">
        <f t="shared" si="2"/>
        <v>273.89999999999998</v>
      </c>
    </row>
    <row r="20" spans="2:20" x14ac:dyDescent="0.3"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</sheetData>
  <mergeCells count="4">
    <mergeCell ref="B2:B3"/>
    <mergeCell ref="C2:C3"/>
    <mergeCell ref="D2:D3"/>
    <mergeCell ref="G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V32"/>
  <sheetViews>
    <sheetView topLeftCell="A10" zoomScale="80" zoomScaleNormal="80" workbookViewId="0">
      <selection activeCell="M38" sqref="M38"/>
    </sheetView>
  </sheetViews>
  <sheetFormatPr defaultColWidth="9.109375" defaultRowHeight="14.4" x14ac:dyDescent="0.3"/>
  <cols>
    <col min="1" max="1" width="2.6640625" style="1" customWidth="1"/>
    <col min="2" max="2" width="9.109375" style="1"/>
    <col min="3" max="3" width="11" style="1" customWidth="1"/>
    <col min="4" max="4" width="9.109375" style="1"/>
    <col min="5" max="5" width="20.44140625" style="1" customWidth="1"/>
    <col min="6" max="6" width="16.5546875" style="1" customWidth="1"/>
    <col min="7" max="21" width="9.109375" style="1"/>
    <col min="22" max="22" width="24.5546875" style="1" customWidth="1"/>
    <col min="23" max="16384" width="9.109375" style="1"/>
  </cols>
  <sheetData>
    <row r="2" spans="2:22" ht="31.2" x14ac:dyDescent="0.3">
      <c r="B2" s="102" t="s">
        <v>1</v>
      </c>
      <c r="C2" s="102" t="s">
        <v>2</v>
      </c>
      <c r="D2" s="102" t="s">
        <v>3</v>
      </c>
      <c r="E2" s="12" t="s">
        <v>4</v>
      </c>
      <c r="F2" s="18" t="s">
        <v>304</v>
      </c>
      <c r="G2" s="105" t="s">
        <v>321</v>
      </c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7"/>
      <c r="T2" s="19"/>
    </row>
    <row r="3" spans="2:22" ht="80.25" customHeight="1" x14ac:dyDescent="0.3">
      <c r="B3" s="103"/>
      <c r="C3" s="103"/>
      <c r="D3" s="103"/>
      <c r="E3" s="13"/>
      <c r="F3" s="20" t="s">
        <v>319</v>
      </c>
      <c r="G3" s="21" t="s">
        <v>305</v>
      </c>
      <c r="H3" s="21" t="s">
        <v>306</v>
      </c>
      <c r="I3" s="21" t="s">
        <v>307</v>
      </c>
      <c r="J3" s="21" t="s">
        <v>308</v>
      </c>
      <c r="K3" s="21" t="s">
        <v>309</v>
      </c>
      <c r="L3" s="21" t="s">
        <v>310</v>
      </c>
      <c r="M3" s="21" t="s">
        <v>311</v>
      </c>
      <c r="N3" s="21" t="s">
        <v>312</v>
      </c>
      <c r="O3" s="21" t="s">
        <v>313</v>
      </c>
      <c r="P3" s="21" t="s">
        <v>314</v>
      </c>
      <c r="Q3" s="21" t="s">
        <v>315</v>
      </c>
      <c r="R3" s="21" t="s">
        <v>316</v>
      </c>
      <c r="S3" s="22" t="s">
        <v>317</v>
      </c>
      <c r="T3" s="23" t="s">
        <v>318</v>
      </c>
    </row>
    <row r="4" spans="2:22" ht="36" customHeight="1" x14ac:dyDescent="0.3">
      <c r="B4" s="5" t="s">
        <v>295</v>
      </c>
      <c r="C4" s="5" t="s">
        <v>296</v>
      </c>
      <c r="D4" s="2">
        <v>204</v>
      </c>
      <c r="E4" s="10" t="s">
        <v>351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2:22" x14ac:dyDescent="0.3">
      <c r="B5" s="11"/>
      <c r="C5" s="11"/>
      <c r="D5" s="11"/>
      <c r="E5" s="11" t="s">
        <v>326</v>
      </c>
      <c r="F5" s="51">
        <v>29.45</v>
      </c>
      <c r="G5" s="51">
        <v>0</v>
      </c>
      <c r="H5" s="51">
        <v>0</v>
      </c>
      <c r="I5" s="51">
        <v>0</v>
      </c>
      <c r="J5" s="51">
        <v>0</v>
      </c>
      <c r="K5" s="51">
        <v>0</v>
      </c>
      <c r="L5" s="51">
        <v>0</v>
      </c>
      <c r="M5" s="51">
        <v>0</v>
      </c>
      <c r="N5" s="51">
        <v>0</v>
      </c>
      <c r="O5" s="51">
        <v>0</v>
      </c>
      <c r="P5" s="51">
        <v>0</v>
      </c>
      <c r="Q5" s="51">
        <v>0</v>
      </c>
      <c r="R5" s="51">
        <v>0</v>
      </c>
      <c r="S5" s="51">
        <v>29.45</v>
      </c>
      <c r="T5" s="43">
        <f>SUM(G5:S5)</f>
        <v>29.45</v>
      </c>
    </row>
    <row r="6" spans="2:22" x14ac:dyDescent="0.3">
      <c r="B6" s="11"/>
      <c r="C6" s="11"/>
      <c r="D6" s="11"/>
      <c r="E6" s="11" t="s">
        <v>327</v>
      </c>
      <c r="F6" s="51">
        <v>4.1999999999999993</v>
      </c>
      <c r="G6" s="51">
        <v>0.3</v>
      </c>
      <c r="H6" s="51">
        <v>0.3</v>
      </c>
      <c r="I6" s="51">
        <v>0.3</v>
      </c>
      <c r="J6" s="51">
        <v>0.3</v>
      </c>
      <c r="K6" s="51">
        <v>0.3</v>
      </c>
      <c r="L6" s="51">
        <v>0.3</v>
      </c>
      <c r="M6" s="51"/>
      <c r="N6" s="51">
        <v>0.3</v>
      </c>
      <c r="O6" s="51">
        <v>0.3</v>
      </c>
      <c r="P6" s="51">
        <v>0.3</v>
      </c>
      <c r="Q6" s="51">
        <v>0.3</v>
      </c>
      <c r="R6" s="51">
        <v>0.3</v>
      </c>
      <c r="S6" s="51">
        <v>0.9</v>
      </c>
      <c r="T6" s="43">
        <f t="shared" ref="T6:T29" si="0">SUM(G6:S6)</f>
        <v>4.1999999999999993</v>
      </c>
    </row>
    <row r="7" spans="2:22" x14ac:dyDescent="0.3">
      <c r="B7" s="11"/>
      <c r="C7" s="11"/>
      <c r="D7" s="11"/>
      <c r="E7" s="11" t="s">
        <v>328</v>
      </c>
      <c r="F7" s="51">
        <v>25.490000000000002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f>2.7+2.1+0.12+0.9+7.24+9.5+0.5+1.14+1.29</f>
        <v>25.490000000000002</v>
      </c>
      <c r="T7" s="43">
        <f t="shared" si="0"/>
        <v>25.490000000000002</v>
      </c>
    </row>
    <row r="8" spans="2:22" x14ac:dyDescent="0.3">
      <c r="B8" s="11"/>
      <c r="C8" s="11"/>
      <c r="D8" s="11"/>
      <c r="E8" s="11" t="s">
        <v>329</v>
      </c>
      <c r="F8" s="55">
        <v>8.35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5">
        <v>8.35</v>
      </c>
      <c r="T8" s="43">
        <f t="shared" si="0"/>
        <v>8.35</v>
      </c>
    </row>
    <row r="9" spans="2:22" x14ac:dyDescent="0.3">
      <c r="B9" s="11"/>
      <c r="C9" s="11"/>
      <c r="D9" s="11"/>
      <c r="E9" s="11" t="s">
        <v>330</v>
      </c>
      <c r="F9" s="51">
        <v>9.59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9.59</v>
      </c>
      <c r="T9" s="43">
        <f t="shared" si="0"/>
        <v>9.59</v>
      </c>
    </row>
    <row r="10" spans="2:22" x14ac:dyDescent="0.3">
      <c r="B10" s="11"/>
      <c r="C10" s="11"/>
      <c r="D10" s="11"/>
      <c r="E10" s="11" t="s">
        <v>331</v>
      </c>
      <c r="F10" s="51">
        <v>15.51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15.51</v>
      </c>
      <c r="T10" s="43">
        <f t="shared" si="0"/>
        <v>15.51</v>
      </c>
    </row>
    <row r="11" spans="2:22" x14ac:dyDescent="0.3">
      <c r="B11" s="11"/>
      <c r="C11" s="11"/>
      <c r="D11" s="11"/>
      <c r="E11" s="11" t="s">
        <v>332</v>
      </c>
      <c r="F11" s="51">
        <v>3.6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0</v>
      </c>
      <c r="S11" s="51">
        <v>3.6</v>
      </c>
      <c r="T11" s="43">
        <f t="shared" si="0"/>
        <v>3.6</v>
      </c>
    </row>
    <row r="12" spans="2:22" ht="15.6" x14ac:dyDescent="0.3">
      <c r="B12" s="11"/>
      <c r="C12" s="11"/>
      <c r="D12" s="11"/>
      <c r="E12" s="11" t="s">
        <v>333</v>
      </c>
      <c r="F12" s="63">
        <v>46.85</v>
      </c>
      <c r="G12" s="64">
        <v>2.41</v>
      </c>
      <c r="H12" s="64">
        <v>2.41</v>
      </c>
      <c r="I12" s="64">
        <v>2.41</v>
      </c>
      <c r="J12" s="64">
        <v>2.41</v>
      </c>
      <c r="K12" s="64">
        <v>2.41</v>
      </c>
      <c r="L12" s="64">
        <v>2.41</v>
      </c>
      <c r="M12" s="64">
        <v>2.41</v>
      </c>
      <c r="N12" s="64">
        <v>2.41</v>
      </c>
      <c r="O12" s="64">
        <v>2.41</v>
      </c>
      <c r="P12" s="64">
        <v>2.41</v>
      </c>
      <c r="Q12" s="64">
        <v>2.41</v>
      </c>
      <c r="R12" s="64">
        <v>2.41</v>
      </c>
      <c r="S12" s="64">
        <v>17.93</v>
      </c>
      <c r="T12" s="43">
        <f t="shared" si="0"/>
        <v>46.85</v>
      </c>
      <c r="V12" s="49" t="s">
        <v>344</v>
      </c>
    </row>
    <row r="13" spans="2:22" x14ac:dyDescent="0.3">
      <c r="B13" s="11"/>
      <c r="C13" s="11"/>
      <c r="D13" s="11"/>
      <c r="E13" s="11" t="s">
        <v>335</v>
      </c>
      <c r="F13" s="51">
        <v>58</v>
      </c>
      <c r="G13" s="51">
        <f>2.5</f>
        <v>2.5</v>
      </c>
      <c r="H13" s="51">
        <f t="shared" ref="H13:R13" si="1">2.5</f>
        <v>2.5</v>
      </c>
      <c r="I13" s="51">
        <f t="shared" si="1"/>
        <v>2.5</v>
      </c>
      <c r="J13" s="51">
        <f t="shared" si="1"/>
        <v>2.5</v>
      </c>
      <c r="K13" s="51">
        <f t="shared" si="1"/>
        <v>2.5</v>
      </c>
      <c r="L13" s="51">
        <f t="shared" si="1"/>
        <v>2.5</v>
      </c>
      <c r="M13" s="51">
        <f t="shared" si="1"/>
        <v>2.5</v>
      </c>
      <c r="N13" s="51">
        <f t="shared" si="1"/>
        <v>2.5</v>
      </c>
      <c r="O13" s="51">
        <f t="shared" si="1"/>
        <v>2.5</v>
      </c>
      <c r="P13" s="51">
        <f t="shared" si="1"/>
        <v>2.5</v>
      </c>
      <c r="Q13" s="51">
        <f t="shared" si="1"/>
        <v>2.5</v>
      </c>
      <c r="R13" s="51">
        <f t="shared" si="1"/>
        <v>2.5</v>
      </c>
      <c r="S13" s="51">
        <f>25+3</f>
        <v>28</v>
      </c>
      <c r="T13" s="43">
        <f t="shared" si="0"/>
        <v>58</v>
      </c>
      <c r="V13" s="49">
        <v>469.68</v>
      </c>
    </row>
    <row r="14" spans="2:22" x14ac:dyDescent="0.3">
      <c r="B14" s="11"/>
      <c r="C14" s="11"/>
      <c r="D14" s="11"/>
      <c r="E14" s="11" t="s">
        <v>336</v>
      </c>
      <c r="F14" s="51">
        <v>16.72</v>
      </c>
      <c r="G14" s="51">
        <f>0.71</f>
        <v>0.71</v>
      </c>
      <c r="H14" s="51">
        <f t="shared" ref="H14:R14" si="2">0.71</f>
        <v>0.71</v>
      </c>
      <c r="I14" s="51">
        <f t="shared" si="2"/>
        <v>0.71</v>
      </c>
      <c r="J14" s="51">
        <f t="shared" si="2"/>
        <v>0.71</v>
      </c>
      <c r="K14" s="51">
        <f t="shared" si="2"/>
        <v>0.71</v>
      </c>
      <c r="L14" s="51">
        <f t="shared" si="2"/>
        <v>0.71</v>
      </c>
      <c r="M14" s="51">
        <f t="shared" si="2"/>
        <v>0.71</v>
      </c>
      <c r="N14" s="51">
        <f t="shared" si="2"/>
        <v>0.71</v>
      </c>
      <c r="O14" s="51">
        <f t="shared" si="2"/>
        <v>0.71</v>
      </c>
      <c r="P14" s="51">
        <f t="shared" si="2"/>
        <v>0.71</v>
      </c>
      <c r="Q14" s="51">
        <f t="shared" si="2"/>
        <v>0.71</v>
      </c>
      <c r="R14" s="51">
        <f t="shared" si="2"/>
        <v>0.71</v>
      </c>
      <c r="S14" s="51">
        <f>5+3.2</f>
        <v>8.1999999999999993</v>
      </c>
      <c r="T14" s="43">
        <f t="shared" si="0"/>
        <v>16.72</v>
      </c>
    </row>
    <row r="15" spans="2:22" x14ac:dyDescent="0.3">
      <c r="B15" s="11"/>
      <c r="C15" s="11"/>
      <c r="D15" s="11"/>
      <c r="E15" s="11" t="s">
        <v>339</v>
      </c>
      <c r="F15" s="51">
        <v>14.5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14.5</v>
      </c>
      <c r="T15" s="43">
        <f t="shared" si="0"/>
        <v>14.5</v>
      </c>
    </row>
    <row r="16" spans="2:22" x14ac:dyDescent="0.3">
      <c r="B16" s="11"/>
      <c r="C16" s="11"/>
      <c r="D16" s="11"/>
      <c r="E16" s="11" t="s">
        <v>340</v>
      </c>
      <c r="F16" s="51">
        <v>61.000000000000007</v>
      </c>
      <c r="G16" s="62">
        <v>5.39</v>
      </c>
      <c r="H16" s="62">
        <v>2.27</v>
      </c>
      <c r="I16" s="62">
        <v>6.43</v>
      </c>
      <c r="J16" s="62">
        <v>2.27</v>
      </c>
      <c r="K16" s="62">
        <v>4.3499999999999996</v>
      </c>
      <c r="L16" s="62">
        <v>5.39</v>
      </c>
      <c r="M16" s="62">
        <v>1.34</v>
      </c>
      <c r="N16" s="62">
        <v>2.27</v>
      </c>
      <c r="O16" s="62">
        <v>4.3499999999999996</v>
      </c>
      <c r="P16" s="62">
        <v>4.3499999999999996</v>
      </c>
      <c r="Q16" s="62">
        <v>4.3499999999999996</v>
      </c>
      <c r="R16" s="62">
        <v>3.31</v>
      </c>
      <c r="S16" s="62">
        <v>14.93</v>
      </c>
      <c r="T16" s="43">
        <f t="shared" si="0"/>
        <v>61.000000000000007</v>
      </c>
    </row>
    <row r="17" spans="2:22" x14ac:dyDescent="0.3">
      <c r="B17" s="11"/>
      <c r="C17" s="11"/>
      <c r="D17" s="11"/>
      <c r="E17" s="11" t="s">
        <v>341</v>
      </c>
      <c r="F17" s="51">
        <v>5.61</v>
      </c>
      <c r="G17" s="51">
        <v>0.5</v>
      </c>
      <c r="H17" s="51">
        <v>0.1</v>
      </c>
      <c r="I17" s="51">
        <v>0.5</v>
      </c>
      <c r="J17" s="51">
        <v>0.1</v>
      </c>
      <c r="K17" s="51">
        <v>0.1</v>
      </c>
      <c r="L17" s="51">
        <v>0.5</v>
      </c>
      <c r="M17" s="51">
        <v>0.1</v>
      </c>
      <c r="N17" s="51">
        <v>0.5</v>
      </c>
      <c r="O17" s="51">
        <v>0.1</v>
      </c>
      <c r="P17" s="51">
        <v>0.5</v>
      </c>
      <c r="Q17" s="51">
        <v>0.5</v>
      </c>
      <c r="R17" s="51">
        <v>0.5</v>
      </c>
      <c r="S17" s="51">
        <v>1.61</v>
      </c>
      <c r="T17" s="43">
        <f t="shared" si="0"/>
        <v>5.61</v>
      </c>
    </row>
    <row r="18" spans="2:22" x14ac:dyDescent="0.3">
      <c r="B18" s="11"/>
      <c r="C18" s="11"/>
      <c r="D18" s="11"/>
      <c r="E18" s="11" t="s">
        <v>342</v>
      </c>
      <c r="F18" s="51">
        <v>5.0999999999999996</v>
      </c>
      <c r="G18" s="51">
        <v>0.3</v>
      </c>
      <c r="H18" s="51">
        <v>0.3</v>
      </c>
      <c r="I18" s="51">
        <v>0.3</v>
      </c>
      <c r="J18" s="51">
        <v>0.3</v>
      </c>
      <c r="K18" s="51">
        <v>0.3</v>
      </c>
      <c r="L18" s="51">
        <v>0.3</v>
      </c>
      <c r="M18" s="51">
        <v>0.3</v>
      </c>
      <c r="N18" s="51">
        <v>0.3</v>
      </c>
      <c r="O18" s="51">
        <v>0.3</v>
      </c>
      <c r="P18" s="51">
        <v>0.3</v>
      </c>
      <c r="Q18" s="51">
        <v>0.3</v>
      </c>
      <c r="R18" s="51">
        <v>0.3</v>
      </c>
      <c r="S18" s="51">
        <v>1.5</v>
      </c>
      <c r="T18" s="43">
        <f t="shared" si="0"/>
        <v>5.0999999999999996</v>
      </c>
    </row>
    <row r="19" spans="2:22" x14ac:dyDescent="0.3">
      <c r="B19" s="11"/>
      <c r="C19" s="11"/>
      <c r="D19" s="11"/>
      <c r="E19" s="11" t="s">
        <v>343</v>
      </c>
      <c r="F19" s="51">
        <v>139.822</v>
      </c>
      <c r="G19" s="51">
        <v>7.3869999999999996</v>
      </c>
      <c r="H19" s="51">
        <v>5.7439999999999998</v>
      </c>
      <c r="I19" s="51">
        <v>6.1159999999999997</v>
      </c>
      <c r="J19" s="51">
        <v>5.6870000000000003</v>
      </c>
      <c r="K19" s="51">
        <v>7.91</v>
      </c>
      <c r="L19" s="51">
        <v>7.601</v>
      </c>
      <c r="M19" s="51">
        <v>5.7279999999999998</v>
      </c>
      <c r="N19" s="51">
        <v>6.3150000000000004</v>
      </c>
      <c r="O19" s="51">
        <v>6.9880000000000004</v>
      </c>
      <c r="P19" s="51">
        <v>7.4210000000000003</v>
      </c>
      <c r="Q19" s="51">
        <v>7.0419999999999998</v>
      </c>
      <c r="R19" s="51">
        <v>7.5739999999999998</v>
      </c>
      <c r="S19" s="51">
        <v>58.308999999999997</v>
      </c>
      <c r="T19" s="43">
        <f t="shared" si="0"/>
        <v>139.822</v>
      </c>
    </row>
    <row r="20" spans="2:22" x14ac:dyDescent="0.3">
      <c r="B20" s="11"/>
      <c r="C20" s="11"/>
      <c r="D20" s="11"/>
      <c r="E20" s="11" t="s">
        <v>345</v>
      </c>
      <c r="F20" s="17">
        <v>18</v>
      </c>
      <c r="G20" s="17">
        <f>2+2</f>
        <v>4</v>
      </c>
      <c r="H20" s="17">
        <v>0</v>
      </c>
      <c r="I20" s="17">
        <f>1+1+2</f>
        <v>4</v>
      </c>
      <c r="J20" s="17">
        <v>0</v>
      </c>
      <c r="K20" s="17">
        <f>2</f>
        <v>2</v>
      </c>
      <c r="L20" s="17">
        <f>2</f>
        <v>2</v>
      </c>
      <c r="M20" s="17">
        <v>0</v>
      </c>
      <c r="N20" s="17">
        <v>0</v>
      </c>
      <c r="O20" s="17">
        <v>0</v>
      </c>
      <c r="P20" s="17">
        <f>2</f>
        <v>2</v>
      </c>
      <c r="Q20" s="17">
        <f>2</f>
        <v>2</v>
      </c>
      <c r="R20" s="17">
        <f>2</f>
        <v>2</v>
      </c>
      <c r="S20" s="17">
        <v>0</v>
      </c>
      <c r="T20" s="43">
        <f t="shared" si="0"/>
        <v>18</v>
      </c>
    </row>
    <row r="21" spans="2:22" x14ac:dyDescent="0.3">
      <c r="B21" s="11"/>
      <c r="C21" s="11"/>
      <c r="D21" s="11"/>
      <c r="E21" s="11" t="s">
        <v>346</v>
      </c>
      <c r="F21" s="17">
        <v>12.115799999999997</v>
      </c>
      <c r="G21" s="17">
        <v>1.6527000000000001</v>
      </c>
      <c r="H21" s="17">
        <v>0.69210000000000005</v>
      </c>
      <c r="I21" s="17">
        <v>0.94789999999999996</v>
      </c>
      <c r="J21" s="17">
        <v>0.61229999999999996</v>
      </c>
      <c r="K21" s="17">
        <v>1.5395000000000001</v>
      </c>
      <c r="L21" s="17">
        <v>1.1069</v>
      </c>
      <c r="M21" s="17">
        <v>0.3145</v>
      </c>
      <c r="N21" s="17">
        <v>0.72150000000000003</v>
      </c>
      <c r="O21" s="17">
        <v>0.91869999999999996</v>
      </c>
      <c r="P21" s="17">
        <v>0.8135</v>
      </c>
      <c r="Q21" s="17">
        <v>1.0193000000000001</v>
      </c>
      <c r="R21" s="17">
        <v>1.1073</v>
      </c>
      <c r="S21" s="17">
        <v>0.66959999999999997</v>
      </c>
      <c r="T21" s="43">
        <f t="shared" si="0"/>
        <v>12.115799999999997</v>
      </c>
    </row>
    <row r="22" spans="2:22" x14ac:dyDescent="0.3">
      <c r="B22" s="11"/>
      <c r="C22" s="11"/>
      <c r="D22" s="11"/>
      <c r="E22" s="11" t="s">
        <v>348</v>
      </c>
      <c r="F22" s="17">
        <v>16.700000000000003</v>
      </c>
      <c r="G22" s="17">
        <v>0.7</v>
      </c>
      <c r="H22" s="17">
        <v>0.7</v>
      </c>
      <c r="I22" s="17">
        <v>0.7</v>
      </c>
      <c r="J22" s="17">
        <v>0.7</v>
      </c>
      <c r="K22" s="17">
        <v>0.7</v>
      </c>
      <c r="L22" s="17">
        <v>0.7</v>
      </c>
      <c r="M22" s="17">
        <v>0.7</v>
      </c>
      <c r="N22" s="17">
        <v>0.7</v>
      </c>
      <c r="O22" s="17">
        <v>0.7</v>
      </c>
      <c r="P22" s="17">
        <v>0.7</v>
      </c>
      <c r="Q22" s="17">
        <v>0.7</v>
      </c>
      <c r="R22" s="17">
        <v>0.7</v>
      </c>
      <c r="S22" s="17">
        <f>5+3.3</f>
        <v>8.3000000000000007</v>
      </c>
      <c r="T22" s="43">
        <f t="shared" si="0"/>
        <v>16.700000000000003</v>
      </c>
    </row>
    <row r="23" spans="2:22" x14ac:dyDescent="0.3">
      <c r="B23" s="11"/>
      <c r="C23" s="11"/>
      <c r="D23" s="11"/>
      <c r="E23" s="11" t="s">
        <v>355</v>
      </c>
      <c r="F23" s="67">
        <v>36.29</v>
      </c>
      <c r="G23" s="67">
        <v>2.0699999999999998</v>
      </c>
      <c r="H23" s="67">
        <v>2.0499999999999998</v>
      </c>
      <c r="I23" s="67">
        <v>2.0699999999999998</v>
      </c>
      <c r="J23" s="67">
        <v>2.0499999999999998</v>
      </c>
      <c r="K23" s="67">
        <v>2.0499999999999998</v>
      </c>
      <c r="L23" s="67">
        <v>2.0499999999999998</v>
      </c>
      <c r="M23" s="67">
        <v>0.95</v>
      </c>
      <c r="N23" s="67">
        <v>2.0499999999999998</v>
      </c>
      <c r="O23" s="67">
        <v>2.0499999999999998</v>
      </c>
      <c r="P23" s="67">
        <v>2.0499999999999998</v>
      </c>
      <c r="Q23" s="67">
        <v>2.0499999999999998</v>
      </c>
      <c r="R23" s="67">
        <v>2.0499999999999998</v>
      </c>
      <c r="S23" s="67">
        <v>12.75</v>
      </c>
      <c r="T23" s="43">
        <f t="shared" si="0"/>
        <v>36.290000000000006</v>
      </c>
    </row>
    <row r="24" spans="2:22" x14ac:dyDescent="0.3">
      <c r="B24" s="11"/>
      <c r="C24" s="11"/>
      <c r="D24" s="11"/>
      <c r="E24" s="11" t="s">
        <v>358</v>
      </c>
      <c r="F24" s="11">
        <v>11.76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11">
        <v>11.76</v>
      </c>
      <c r="T24" s="43">
        <f t="shared" si="0"/>
        <v>11.76</v>
      </c>
    </row>
    <row r="25" spans="2:22" x14ac:dyDescent="0.3">
      <c r="B25" s="11"/>
      <c r="C25" s="11"/>
      <c r="D25" s="11"/>
      <c r="E25" s="11" t="s">
        <v>359</v>
      </c>
      <c r="F25" s="11">
        <v>151.69999999999999</v>
      </c>
      <c r="G25" s="11">
        <v>4.5</v>
      </c>
      <c r="H25" s="11">
        <v>4.4000000000000004</v>
      </c>
      <c r="I25" s="11">
        <v>4.4000000000000004</v>
      </c>
      <c r="J25" s="11">
        <v>4.4000000000000004</v>
      </c>
      <c r="K25" s="11">
        <v>4.4000000000000004</v>
      </c>
      <c r="L25" s="11">
        <v>4.4000000000000004</v>
      </c>
      <c r="M25" s="11">
        <v>1</v>
      </c>
      <c r="N25" s="11">
        <v>4.4000000000000004</v>
      </c>
      <c r="O25" s="11">
        <v>4.4000000000000004</v>
      </c>
      <c r="P25" s="11">
        <v>3.4</v>
      </c>
      <c r="Q25" s="11">
        <v>4.4000000000000004</v>
      </c>
      <c r="R25" s="11">
        <v>4.4000000000000004</v>
      </c>
      <c r="S25" s="11">
        <v>103.24</v>
      </c>
      <c r="T25" s="43">
        <f t="shared" si="0"/>
        <v>151.73999999999998</v>
      </c>
    </row>
    <row r="26" spans="2:22" x14ac:dyDescent="0.3">
      <c r="B26" s="11"/>
      <c r="C26" s="11"/>
      <c r="D26" s="11"/>
      <c r="E26" s="11" t="s">
        <v>360</v>
      </c>
      <c r="F26" s="11">
        <f>9.39+2.2+1.7</f>
        <v>13.29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11">
        <f>9.39+2.2+1.7</f>
        <v>13.29</v>
      </c>
      <c r="T26" s="43">
        <f t="shared" si="0"/>
        <v>13.29</v>
      </c>
    </row>
    <row r="27" spans="2:22" x14ac:dyDescent="0.3">
      <c r="B27" s="11"/>
      <c r="C27" s="11"/>
      <c r="D27" s="11"/>
      <c r="E27" s="11" t="s">
        <v>363</v>
      </c>
      <c r="F27" s="11">
        <f>4.05</f>
        <v>4.05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11">
        <f>4.05</f>
        <v>4.05</v>
      </c>
      <c r="T27" s="43">
        <f t="shared" si="0"/>
        <v>4.05</v>
      </c>
    </row>
    <row r="28" spans="2:22" x14ac:dyDescent="0.3">
      <c r="B28" s="11"/>
      <c r="C28" s="11"/>
      <c r="D28" s="11"/>
      <c r="E28" s="11" t="s">
        <v>354</v>
      </c>
      <c r="F28" s="11">
        <v>14.87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11">
        <v>14.87</v>
      </c>
      <c r="T28" s="43">
        <f t="shared" si="0"/>
        <v>14.87</v>
      </c>
    </row>
    <row r="29" spans="2:22" x14ac:dyDescent="0.3">
      <c r="B29" s="11"/>
      <c r="C29" s="11"/>
      <c r="D29" s="11"/>
      <c r="E29" s="11"/>
      <c r="F29" s="11"/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11"/>
      <c r="T29" s="43">
        <f t="shared" si="0"/>
        <v>0</v>
      </c>
    </row>
    <row r="30" spans="2:22" x14ac:dyDescent="0.3">
      <c r="B30" s="11"/>
      <c r="C30" s="11"/>
      <c r="D30" s="11"/>
      <c r="E30" s="16" t="s">
        <v>353</v>
      </c>
      <c r="F30" s="17">
        <f>SUM(F5:F29)</f>
        <v>722.56779999999992</v>
      </c>
      <c r="G30" s="17">
        <f t="shared" ref="G30:T30" si="3">SUM(G5:G29)</f>
        <v>32.419699999999999</v>
      </c>
      <c r="H30" s="17">
        <f t="shared" si="3"/>
        <v>22.176099999999998</v>
      </c>
      <c r="I30" s="17">
        <f t="shared" si="3"/>
        <v>31.383899999999997</v>
      </c>
      <c r="J30" s="17">
        <f t="shared" si="3"/>
        <v>22.039299999999997</v>
      </c>
      <c r="K30" s="17">
        <f t="shared" si="3"/>
        <v>29.269500000000001</v>
      </c>
      <c r="L30" s="17">
        <f t="shared" si="3"/>
        <v>29.9679</v>
      </c>
      <c r="M30" s="17">
        <f t="shared" si="3"/>
        <v>16.052499999999998</v>
      </c>
      <c r="N30" s="17">
        <f t="shared" si="3"/>
        <v>23.176499999999997</v>
      </c>
      <c r="O30" s="17">
        <f t="shared" si="3"/>
        <v>25.726700000000001</v>
      </c>
      <c r="P30" s="17">
        <f t="shared" si="3"/>
        <v>27.454499999999999</v>
      </c>
      <c r="Q30" s="17">
        <f t="shared" si="3"/>
        <v>28.281300000000002</v>
      </c>
      <c r="R30" s="17">
        <f t="shared" si="3"/>
        <v>27.8613</v>
      </c>
      <c r="S30" s="17">
        <f t="shared" si="3"/>
        <v>406.79860000000008</v>
      </c>
      <c r="T30" s="17">
        <f t="shared" si="3"/>
        <v>722.60779999999988</v>
      </c>
      <c r="V30" s="15"/>
    </row>
    <row r="32" spans="2:22" x14ac:dyDescent="0.3"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8"/>
    </row>
  </sheetData>
  <mergeCells count="4">
    <mergeCell ref="B2:B3"/>
    <mergeCell ref="C2:C3"/>
    <mergeCell ref="D2:D3"/>
    <mergeCell ref="G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T20"/>
  <sheetViews>
    <sheetView zoomScale="80" zoomScaleNormal="80" workbookViewId="0">
      <selection activeCell="V11" sqref="V11"/>
    </sheetView>
  </sheetViews>
  <sheetFormatPr defaultColWidth="9.109375" defaultRowHeight="14.4" x14ac:dyDescent="0.3"/>
  <cols>
    <col min="1" max="1" width="2.33203125" style="1" customWidth="1"/>
    <col min="2" max="2" width="9.109375" style="1"/>
    <col min="3" max="3" width="12.109375" style="1" customWidth="1"/>
    <col min="4" max="4" width="9.109375" style="1"/>
    <col min="5" max="5" width="16.6640625" style="1" customWidth="1"/>
    <col min="6" max="6" width="17.44140625" style="1" customWidth="1"/>
    <col min="7" max="16384" width="9.109375" style="1"/>
  </cols>
  <sheetData>
    <row r="2" spans="2:20" ht="31.2" x14ac:dyDescent="0.3">
      <c r="B2" s="102" t="s">
        <v>1</v>
      </c>
      <c r="C2" s="102" t="s">
        <v>2</v>
      </c>
      <c r="D2" s="102" t="s">
        <v>3</v>
      </c>
      <c r="E2" s="12" t="s">
        <v>4</v>
      </c>
      <c r="F2" s="18" t="s">
        <v>304</v>
      </c>
      <c r="G2" s="105" t="s">
        <v>321</v>
      </c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7"/>
      <c r="T2" s="19"/>
    </row>
    <row r="3" spans="2:20" ht="79.5" customHeight="1" x14ac:dyDescent="0.3">
      <c r="B3" s="103"/>
      <c r="C3" s="103"/>
      <c r="D3" s="103"/>
      <c r="E3" s="13"/>
      <c r="F3" s="20" t="s">
        <v>319</v>
      </c>
      <c r="G3" s="21" t="s">
        <v>305</v>
      </c>
      <c r="H3" s="21" t="s">
        <v>306</v>
      </c>
      <c r="I3" s="21" t="s">
        <v>307</v>
      </c>
      <c r="J3" s="21" t="s">
        <v>308</v>
      </c>
      <c r="K3" s="21" t="s">
        <v>309</v>
      </c>
      <c r="L3" s="21" t="s">
        <v>310</v>
      </c>
      <c r="M3" s="21" t="s">
        <v>311</v>
      </c>
      <c r="N3" s="21" t="s">
        <v>312</v>
      </c>
      <c r="O3" s="21" t="s">
        <v>313</v>
      </c>
      <c r="P3" s="21" t="s">
        <v>314</v>
      </c>
      <c r="Q3" s="21" t="s">
        <v>315</v>
      </c>
      <c r="R3" s="21" t="s">
        <v>316</v>
      </c>
      <c r="S3" s="22" t="s">
        <v>317</v>
      </c>
      <c r="T3" s="23" t="s">
        <v>318</v>
      </c>
    </row>
    <row r="4" spans="2:20" ht="50.25" customHeight="1" x14ac:dyDescent="0.3">
      <c r="B4" s="5" t="s">
        <v>300</v>
      </c>
      <c r="C4" s="5" t="s">
        <v>218</v>
      </c>
      <c r="D4" s="2">
        <v>206</v>
      </c>
      <c r="E4" s="10" t="s">
        <v>301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>
        <f t="shared" ref="T4" si="0">SUM(G4:S4)</f>
        <v>0</v>
      </c>
    </row>
    <row r="5" spans="2:20" x14ac:dyDescent="0.3">
      <c r="B5" s="11"/>
      <c r="C5" s="11"/>
      <c r="D5" s="11"/>
      <c r="E5" s="11" t="s">
        <v>323</v>
      </c>
      <c r="F5" s="17">
        <v>10.32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10.32</v>
      </c>
      <c r="T5" s="43">
        <f>SUM(G5:S5)</f>
        <v>10.32</v>
      </c>
    </row>
    <row r="6" spans="2:20" x14ac:dyDescent="0.3">
      <c r="B6" s="11"/>
      <c r="C6" s="11"/>
      <c r="D6" s="11"/>
      <c r="E6" s="11" t="s">
        <v>326</v>
      </c>
      <c r="F6" s="17">
        <v>28.43</v>
      </c>
      <c r="G6" s="17">
        <v>0</v>
      </c>
      <c r="H6" s="17">
        <v>9.27</v>
      </c>
      <c r="I6" s="17">
        <v>0</v>
      </c>
      <c r="J6" s="17">
        <v>0</v>
      </c>
      <c r="K6" s="17">
        <v>9.9</v>
      </c>
      <c r="L6" s="17">
        <v>0</v>
      </c>
      <c r="M6" s="17">
        <v>0</v>
      </c>
      <c r="N6" s="17">
        <v>4.54</v>
      </c>
      <c r="O6" s="17">
        <v>4.72</v>
      </c>
      <c r="P6" s="17">
        <v>0</v>
      </c>
      <c r="Q6" s="17">
        <v>0</v>
      </c>
      <c r="R6" s="17">
        <v>0</v>
      </c>
      <c r="S6" s="17">
        <v>0</v>
      </c>
      <c r="T6" s="43">
        <f t="shared" ref="T6:T9" si="1">SUM(G6:S6)</f>
        <v>28.43</v>
      </c>
    </row>
    <row r="7" spans="2:20" x14ac:dyDescent="0.3">
      <c r="B7" s="11"/>
      <c r="C7" s="11"/>
      <c r="D7" s="11"/>
      <c r="E7" s="11" t="s">
        <v>335</v>
      </c>
      <c r="F7" s="17">
        <v>10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10</v>
      </c>
      <c r="T7" s="43">
        <f t="shared" si="1"/>
        <v>10</v>
      </c>
    </row>
    <row r="8" spans="2:20" x14ac:dyDescent="0.3">
      <c r="B8" s="11"/>
      <c r="C8" s="11"/>
      <c r="D8" s="11"/>
      <c r="E8" s="11" t="s">
        <v>355</v>
      </c>
      <c r="F8" s="67">
        <v>25.87</v>
      </c>
      <c r="G8" s="67">
        <v>3.375</v>
      </c>
      <c r="H8" s="67">
        <v>1.875</v>
      </c>
      <c r="I8" s="67">
        <v>3</v>
      </c>
      <c r="J8" s="67">
        <v>1.87</v>
      </c>
      <c r="K8" s="67">
        <v>2.25</v>
      </c>
      <c r="L8" s="67">
        <v>2.25</v>
      </c>
      <c r="M8" s="67"/>
      <c r="N8" s="67">
        <v>2.25</v>
      </c>
      <c r="O8" s="67">
        <v>2.25</v>
      </c>
      <c r="P8" s="67">
        <v>2.25</v>
      </c>
      <c r="Q8" s="67">
        <v>2.25</v>
      </c>
      <c r="R8" s="67">
        <v>2.25</v>
      </c>
      <c r="S8" s="67"/>
      <c r="T8" s="17">
        <f t="shared" si="1"/>
        <v>25.87</v>
      </c>
    </row>
    <row r="9" spans="2:20" x14ac:dyDescent="0.3">
      <c r="B9" s="11"/>
      <c r="C9" s="11"/>
      <c r="D9" s="11"/>
      <c r="E9" s="11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>
        <f t="shared" si="1"/>
        <v>0</v>
      </c>
    </row>
    <row r="10" spans="2:20" x14ac:dyDescent="0.3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2:20" x14ac:dyDescent="0.3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2:20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2:20" x14ac:dyDescent="0.3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3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2:20" x14ac:dyDescent="0.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2:20" x14ac:dyDescent="0.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2:20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2:20" x14ac:dyDescent="0.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2:20" x14ac:dyDescent="0.3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2:20" x14ac:dyDescent="0.3">
      <c r="B20" s="11"/>
      <c r="C20" s="11"/>
      <c r="D20" s="11"/>
      <c r="E20" s="11"/>
      <c r="F20" s="43">
        <f>SUM(F5:F18)</f>
        <v>74.62</v>
      </c>
      <c r="G20" s="43">
        <f t="shared" ref="G20:T20" si="2">SUM(G5:G18)</f>
        <v>3.375</v>
      </c>
      <c r="H20" s="43">
        <f t="shared" si="2"/>
        <v>11.145</v>
      </c>
      <c r="I20" s="43">
        <f t="shared" si="2"/>
        <v>3</v>
      </c>
      <c r="J20" s="43">
        <f t="shared" si="2"/>
        <v>1.87</v>
      </c>
      <c r="K20" s="43">
        <f t="shared" si="2"/>
        <v>12.15</v>
      </c>
      <c r="L20" s="43">
        <f t="shared" si="2"/>
        <v>2.25</v>
      </c>
      <c r="M20" s="43">
        <f t="shared" si="2"/>
        <v>0</v>
      </c>
      <c r="N20" s="43">
        <f t="shared" si="2"/>
        <v>6.79</v>
      </c>
      <c r="O20" s="43">
        <f t="shared" si="2"/>
        <v>6.97</v>
      </c>
      <c r="P20" s="43">
        <f t="shared" si="2"/>
        <v>2.25</v>
      </c>
      <c r="Q20" s="43">
        <f t="shared" si="2"/>
        <v>2.25</v>
      </c>
      <c r="R20" s="43">
        <f t="shared" si="2"/>
        <v>2.25</v>
      </c>
      <c r="S20" s="43">
        <f t="shared" si="2"/>
        <v>20.32</v>
      </c>
      <c r="T20" s="43">
        <f t="shared" si="2"/>
        <v>74.62</v>
      </c>
    </row>
  </sheetData>
  <mergeCells count="4">
    <mergeCell ref="B2:B3"/>
    <mergeCell ref="C2:C3"/>
    <mergeCell ref="D2:D3"/>
    <mergeCell ref="G2:S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1"/>
  <sheetViews>
    <sheetView zoomScale="90" zoomScaleNormal="90" workbookViewId="0">
      <selection activeCell="T7" sqref="T7"/>
    </sheetView>
  </sheetViews>
  <sheetFormatPr defaultRowHeight="14.4" x14ac:dyDescent="0.3"/>
  <cols>
    <col min="1" max="1" width="7.6640625" customWidth="1"/>
    <col min="2" max="2" width="13" customWidth="1"/>
    <col min="4" max="4" width="16.88671875" customWidth="1"/>
    <col min="5" max="5" width="21.33203125" customWidth="1"/>
  </cols>
  <sheetData>
    <row r="2" spans="1:19" ht="36.75" customHeight="1" x14ac:dyDescent="0.3">
      <c r="A2" s="102" t="s">
        <v>1</v>
      </c>
      <c r="B2" s="102" t="s">
        <v>2</v>
      </c>
      <c r="C2" s="102" t="s">
        <v>3</v>
      </c>
      <c r="D2" s="12" t="s">
        <v>4</v>
      </c>
      <c r="E2" s="18" t="s">
        <v>304</v>
      </c>
      <c r="F2" s="89" t="s">
        <v>321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1"/>
      <c r="S2" s="19"/>
    </row>
    <row r="3" spans="1:19" ht="63" customHeight="1" x14ac:dyDescent="0.3">
      <c r="A3" s="103"/>
      <c r="B3" s="103"/>
      <c r="C3" s="103"/>
      <c r="D3" s="13"/>
      <c r="E3" s="20" t="s">
        <v>319</v>
      </c>
      <c r="F3" s="21" t="s">
        <v>305</v>
      </c>
      <c r="G3" s="21" t="s">
        <v>306</v>
      </c>
      <c r="H3" s="21" t="s">
        <v>307</v>
      </c>
      <c r="I3" s="21" t="s">
        <v>308</v>
      </c>
      <c r="J3" s="21" t="s">
        <v>309</v>
      </c>
      <c r="K3" s="21" t="s">
        <v>310</v>
      </c>
      <c r="L3" s="21" t="s">
        <v>311</v>
      </c>
      <c r="M3" s="21" t="s">
        <v>312</v>
      </c>
      <c r="N3" s="21" t="s">
        <v>313</v>
      </c>
      <c r="O3" s="21" t="s">
        <v>314</v>
      </c>
      <c r="P3" s="21" t="s">
        <v>315</v>
      </c>
      <c r="Q3" s="21" t="s">
        <v>316</v>
      </c>
      <c r="R3" s="22" t="s">
        <v>317</v>
      </c>
      <c r="S3" s="23" t="s">
        <v>318</v>
      </c>
    </row>
    <row r="4" spans="1:19" ht="47.25" customHeight="1" x14ac:dyDescent="0.3">
      <c r="A4" s="3" t="s">
        <v>274</v>
      </c>
      <c r="B4" s="3" t="s">
        <v>213</v>
      </c>
      <c r="C4" s="41">
        <v>194</v>
      </c>
      <c r="D4" s="42" t="s">
        <v>214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>
        <f t="shared" ref="S4" si="0">SUM(F4:R4)</f>
        <v>0</v>
      </c>
    </row>
    <row r="5" spans="1:19" x14ac:dyDescent="0.3">
      <c r="A5" s="37"/>
      <c r="B5" s="37"/>
      <c r="C5" s="37"/>
      <c r="D5" s="37" t="s">
        <v>322</v>
      </c>
      <c r="E5" s="65">
        <v>57.12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0</v>
      </c>
      <c r="L5" s="51">
        <v>0</v>
      </c>
      <c r="M5" s="51">
        <v>0</v>
      </c>
      <c r="N5" s="51">
        <v>0</v>
      </c>
      <c r="O5" s="51">
        <v>0</v>
      </c>
      <c r="P5" s="51">
        <v>0</v>
      </c>
      <c r="Q5" s="51">
        <v>0</v>
      </c>
      <c r="R5" s="65">
        <v>57.12</v>
      </c>
      <c r="S5" s="59">
        <f>SUM(F5:R5)</f>
        <v>57.12</v>
      </c>
    </row>
    <row r="6" spans="1:19" x14ac:dyDescent="0.3">
      <c r="A6" s="37"/>
      <c r="B6" s="37"/>
      <c r="C6" s="37"/>
      <c r="D6" s="37" t="s">
        <v>324</v>
      </c>
      <c r="E6" s="53">
        <v>416.49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3">
        <v>416.49</v>
      </c>
      <c r="S6" s="59">
        <f t="shared" ref="S6:S20" si="1">SUM(F6:R6)</f>
        <v>416.49</v>
      </c>
    </row>
    <row r="7" spans="1:19" x14ac:dyDescent="0.3">
      <c r="A7" s="37"/>
      <c r="B7" s="37"/>
      <c r="C7" s="37"/>
      <c r="D7" s="37" t="s">
        <v>327</v>
      </c>
      <c r="E7" s="51">
        <v>3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3</v>
      </c>
      <c r="S7" s="59">
        <f t="shared" si="1"/>
        <v>3</v>
      </c>
    </row>
    <row r="8" spans="1:19" x14ac:dyDescent="0.3">
      <c r="A8" s="37"/>
      <c r="B8" s="37"/>
      <c r="C8" s="37"/>
      <c r="D8" s="37" t="s">
        <v>332</v>
      </c>
      <c r="E8" s="51">
        <v>2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2</v>
      </c>
      <c r="S8" s="59">
        <f t="shared" si="1"/>
        <v>2</v>
      </c>
    </row>
    <row r="9" spans="1:19" x14ac:dyDescent="0.3">
      <c r="A9" s="37"/>
      <c r="B9" s="37"/>
      <c r="C9" s="37"/>
      <c r="D9" s="37" t="s">
        <v>333</v>
      </c>
      <c r="E9" s="55">
        <v>126.38</v>
      </c>
      <c r="F9" s="66">
        <v>4.75</v>
      </c>
      <c r="G9" s="66">
        <v>4.87</v>
      </c>
      <c r="H9" s="66">
        <v>4.37</v>
      </c>
      <c r="I9" s="66">
        <v>4.37</v>
      </c>
      <c r="J9" s="66">
        <v>4.87</v>
      </c>
      <c r="K9" s="66">
        <v>4.37</v>
      </c>
      <c r="L9" s="55">
        <v>0</v>
      </c>
      <c r="M9" s="66">
        <v>4.37</v>
      </c>
      <c r="N9" s="66">
        <v>4.87</v>
      </c>
      <c r="O9" s="66">
        <v>4.87</v>
      </c>
      <c r="P9" s="66">
        <v>4.37</v>
      </c>
      <c r="Q9" s="66">
        <v>6.57</v>
      </c>
      <c r="R9" s="66">
        <v>73.73</v>
      </c>
      <c r="S9" s="59">
        <f t="shared" si="1"/>
        <v>126.38</v>
      </c>
    </row>
    <row r="10" spans="1:19" x14ac:dyDescent="0.3">
      <c r="A10" s="37"/>
      <c r="B10" s="37"/>
      <c r="C10" s="37"/>
      <c r="D10" s="37" t="s">
        <v>334</v>
      </c>
      <c r="E10" s="53">
        <v>20.079999999999998</v>
      </c>
      <c r="F10" s="51">
        <v>1.5</v>
      </c>
      <c r="G10" s="51">
        <v>0.5</v>
      </c>
      <c r="H10" s="51">
        <v>2</v>
      </c>
      <c r="I10" s="51">
        <v>0.5</v>
      </c>
      <c r="J10" s="51">
        <v>0.5</v>
      </c>
      <c r="K10" s="51">
        <v>0.5</v>
      </c>
      <c r="L10" s="51">
        <v>0.5</v>
      </c>
      <c r="M10" s="51">
        <v>0.5</v>
      </c>
      <c r="N10" s="51">
        <v>0.9</v>
      </c>
      <c r="O10" s="51">
        <v>0.9</v>
      </c>
      <c r="P10" s="51">
        <v>0.5</v>
      </c>
      <c r="Q10" s="51">
        <v>0.5</v>
      </c>
      <c r="R10" s="51">
        <v>10.78</v>
      </c>
      <c r="S10" s="59">
        <f t="shared" si="1"/>
        <v>20.079999999999998</v>
      </c>
    </row>
    <row r="11" spans="1:19" x14ac:dyDescent="0.3">
      <c r="A11" s="37"/>
      <c r="B11" s="37"/>
      <c r="C11" s="37"/>
      <c r="D11" s="37" t="s">
        <v>335</v>
      </c>
      <c r="E11" s="51">
        <v>19.299999999999997</v>
      </c>
      <c r="F11" s="51">
        <f>0.5+0.6</f>
        <v>1.1000000000000001</v>
      </c>
      <c r="G11" s="51">
        <f t="shared" ref="G11:Q11" si="2">0.5+0.6</f>
        <v>1.1000000000000001</v>
      </c>
      <c r="H11" s="51">
        <f t="shared" si="2"/>
        <v>1.1000000000000001</v>
      </c>
      <c r="I11" s="51">
        <f t="shared" si="2"/>
        <v>1.1000000000000001</v>
      </c>
      <c r="J11" s="51">
        <f t="shared" si="2"/>
        <v>1.1000000000000001</v>
      </c>
      <c r="K11" s="51">
        <f t="shared" si="2"/>
        <v>1.1000000000000001</v>
      </c>
      <c r="L11" s="51">
        <f t="shared" si="2"/>
        <v>1.1000000000000001</v>
      </c>
      <c r="M11" s="51">
        <f t="shared" si="2"/>
        <v>1.1000000000000001</v>
      </c>
      <c r="N11" s="51">
        <f t="shared" si="2"/>
        <v>1.1000000000000001</v>
      </c>
      <c r="O11" s="51">
        <f t="shared" si="2"/>
        <v>1.1000000000000001</v>
      </c>
      <c r="P11" s="51">
        <f>0.5+0.6</f>
        <v>1.1000000000000001</v>
      </c>
      <c r="Q11" s="51">
        <f t="shared" si="2"/>
        <v>1.1000000000000001</v>
      </c>
      <c r="R11" s="51">
        <f>2+3+0.6+0.5</f>
        <v>6.1</v>
      </c>
      <c r="S11" s="59">
        <f t="shared" si="1"/>
        <v>19.299999999999997</v>
      </c>
    </row>
    <row r="12" spans="1:19" x14ac:dyDescent="0.3">
      <c r="A12" s="37"/>
      <c r="B12" s="37"/>
      <c r="C12" s="37"/>
      <c r="D12" s="37" t="s">
        <v>336</v>
      </c>
      <c r="E12" s="51">
        <v>1.5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1.5</v>
      </c>
      <c r="S12" s="59">
        <f t="shared" si="1"/>
        <v>1.5</v>
      </c>
    </row>
    <row r="13" spans="1:19" x14ac:dyDescent="0.3">
      <c r="A13" s="37"/>
      <c r="B13" s="37"/>
      <c r="C13" s="37"/>
      <c r="D13" s="37" t="s">
        <v>338</v>
      </c>
      <c r="E13" s="53">
        <v>12</v>
      </c>
      <c r="F13" s="51">
        <v>1</v>
      </c>
      <c r="G13" s="51">
        <v>1</v>
      </c>
      <c r="H13" s="51">
        <v>1</v>
      </c>
      <c r="I13" s="51">
        <v>1</v>
      </c>
      <c r="J13" s="51">
        <v>1</v>
      </c>
      <c r="K13" s="51">
        <v>1</v>
      </c>
      <c r="L13" s="51">
        <v>1</v>
      </c>
      <c r="M13" s="51">
        <v>1</v>
      </c>
      <c r="N13" s="51">
        <v>1</v>
      </c>
      <c r="O13" s="51">
        <v>1</v>
      </c>
      <c r="P13" s="51">
        <v>1</v>
      </c>
      <c r="Q13" s="51">
        <v>1</v>
      </c>
      <c r="R13" s="51"/>
      <c r="S13" s="59">
        <f t="shared" si="1"/>
        <v>12</v>
      </c>
    </row>
    <row r="14" spans="1:19" x14ac:dyDescent="0.3">
      <c r="A14" s="37"/>
      <c r="B14" s="37"/>
      <c r="C14" s="37"/>
      <c r="D14" s="37" t="s">
        <v>339</v>
      </c>
      <c r="E14" s="51">
        <v>38</v>
      </c>
      <c r="F14" s="51">
        <f>1+0.5+0.5</f>
        <v>2</v>
      </c>
      <c r="G14" s="51">
        <f t="shared" ref="G14:Q14" si="3">1+0.5+0.5</f>
        <v>2</v>
      </c>
      <c r="H14" s="51">
        <f t="shared" si="3"/>
        <v>2</v>
      </c>
      <c r="I14" s="51">
        <f t="shared" si="3"/>
        <v>2</v>
      </c>
      <c r="J14" s="51">
        <f t="shared" si="3"/>
        <v>2</v>
      </c>
      <c r="K14" s="51">
        <f t="shared" si="3"/>
        <v>2</v>
      </c>
      <c r="L14" s="51">
        <f t="shared" si="3"/>
        <v>2</v>
      </c>
      <c r="M14" s="51">
        <f t="shared" si="3"/>
        <v>2</v>
      </c>
      <c r="N14" s="51">
        <f t="shared" si="3"/>
        <v>2</v>
      </c>
      <c r="O14" s="51">
        <f t="shared" si="3"/>
        <v>2</v>
      </c>
      <c r="P14" s="51">
        <f t="shared" si="3"/>
        <v>2</v>
      </c>
      <c r="Q14" s="51">
        <f t="shared" si="3"/>
        <v>2</v>
      </c>
      <c r="R14" s="51">
        <f>2+12</f>
        <v>14</v>
      </c>
      <c r="S14" s="59">
        <f t="shared" si="1"/>
        <v>38</v>
      </c>
    </row>
    <row r="15" spans="1:19" x14ac:dyDescent="0.3">
      <c r="A15" s="37"/>
      <c r="B15" s="37"/>
      <c r="C15" s="37"/>
      <c r="D15" s="37" t="s">
        <v>340</v>
      </c>
      <c r="E15" s="51">
        <v>10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10</v>
      </c>
      <c r="S15" s="59">
        <f t="shared" si="1"/>
        <v>10</v>
      </c>
    </row>
    <row r="16" spans="1:19" x14ac:dyDescent="0.3">
      <c r="A16" s="37"/>
      <c r="B16" s="37"/>
      <c r="C16" s="37"/>
      <c r="D16" s="37" t="s">
        <v>346</v>
      </c>
      <c r="E16" s="51">
        <v>92.914999999999992</v>
      </c>
      <c r="F16" s="17">
        <v>9.8879999999999999</v>
      </c>
      <c r="G16" s="17">
        <v>4.758</v>
      </c>
      <c r="H16" s="17">
        <v>5.4660000000000002</v>
      </c>
      <c r="I16" s="17">
        <v>4.4160000000000004</v>
      </c>
      <c r="J16" s="17">
        <v>9.984</v>
      </c>
      <c r="K16" s="17">
        <v>7.968</v>
      </c>
      <c r="L16" s="17">
        <v>2.484</v>
      </c>
      <c r="M16" s="17">
        <v>4.8840000000000003</v>
      </c>
      <c r="N16" s="17">
        <v>6.12</v>
      </c>
      <c r="O16" s="17">
        <v>5.4660000000000002</v>
      </c>
      <c r="P16" s="17">
        <v>6.4740000000000002</v>
      </c>
      <c r="Q16" s="17">
        <v>7.3319999999999999</v>
      </c>
      <c r="R16" s="17">
        <v>17.675000000000001</v>
      </c>
      <c r="S16" s="59">
        <f t="shared" si="1"/>
        <v>92.914999999999992</v>
      </c>
    </row>
    <row r="17" spans="1:19" x14ac:dyDescent="0.3">
      <c r="A17" s="37"/>
      <c r="B17" s="37"/>
      <c r="C17" s="37"/>
      <c r="D17" s="37" t="s">
        <v>355</v>
      </c>
      <c r="E17" s="67">
        <v>21.85</v>
      </c>
      <c r="F17" s="67">
        <v>1.25</v>
      </c>
      <c r="G17" s="67">
        <v>1.25</v>
      </c>
      <c r="H17" s="67">
        <v>1.25</v>
      </c>
      <c r="I17" s="67">
        <v>1.25</v>
      </c>
      <c r="J17" s="67">
        <v>1.25</v>
      </c>
      <c r="K17" s="67">
        <v>1.25</v>
      </c>
      <c r="L17" s="67"/>
      <c r="M17" s="67">
        <v>1.25</v>
      </c>
      <c r="N17" s="67">
        <v>1.25</v>
      </c>
      <c r="O17" s="67">
        <v>1.25</v>
      </c>
      <c r="P17" s="67">
        <v>1.25</v>
      </c>
      <c r="Q17" s="67">
        <v>1.25</v>
      </c>
      <c r="R17" s="67">
        <v>8.1</v>
      </c>
      <c r="S17" s="47">
        <f t="shared" si="1"/>
        <v>21.85</v>
      </c>
    </row>
    <row r="18" spans="1:19" x14ac:dyDescent="0.3">
      <c r="A18" s="37"/>
      <c r="B18" s="37"/>
      <c r="C18" s="37"/>
      <c r="D18" s="37" t="s">
        <v>356</v>
      </c>
      <c r="E18" s="47">
        <v>40.799999999999997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40.799999999999997</v>
      </c>
      <c r="S18" s="47">
        <f t="shared" si="1"/>
        <v>40.799999999999997</v>
      </c>
    </row>
    <row r="19" spans="1:19" x14ac:dyDescent="0.3">
      <c r="A19" s="37"/>
      <c r="B19" s="37"/>
      <c r="C19" s="37"/>
      <c r="D19" s="37" t="s">
        <v>354</v>
      </c>
      <c r="E19" s="37">
        <v>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>
        <v>5</v>
      </c>
      <c r="S19" s="47">
        <f t="shared" si="1"/>
        <v>5</v>
      </c>
    </row>
    <row r="20" spans="1:19" x14ac:dyDescent="0.3">
      <c r="A20" s="37"/>
      <c r="B20" s="37"/>
      <c r="C20" s="37"/>
      <c r="D20" s="37" t="s">
        <v>359</v>
      </c>
      <c r="E20" s="11">
        <v>358.24</v>
      </c>
      <c r="F20" s="11">
        <v>20</v>
      </c>
      <c r="G20" s="11">
        <v>10</v>
      </c>
      <c r="H20" s="11">
        <v>18</v>
      </c>
      <c r="I20" s="11">
        <v>10</v>
      </c>
      <c r="J20" s="11">
        <v>18</v>
      </c>
      <c r="K20" s="11">
        <v>18</v>
      </c>
      <c r="L20" s="11">
        <v>2.2400000000000002</v>
      </c>
      <c r="M20" s="11">
        <v>10</v>
      </c>
      <c r="N20" s="11">
        <v>13</v>
      </c>
      <c r="O20" s="11">
        <v>13</v>
      </c>
      <c r="P20" s="11">
        <v>13</v>
      </c>
      <c r="Q20" s="11">
        <v>13</v>
      </c>
      <c r="R20" s="11">
        <v>200</v>
      </c>
      <c r="S20" s="47">
        <f t="shared" si="1"/>
        <v>358.24</v>
      </c>
    </row>
    <row r="21" spans="1:19" x14ac:dyDescent="0.3">
      <c r="D21" s="50" t="s">
        <v>352</v>
      </c>
      <c r="E21" s="60">
        <f>SUM(E5:E20)</f>
        <v>1224.675</v>
      </c>
      <c r="F21" s="60">
        <f t="shared" ref="F21:S21" si="4">SUM(F5:F20)</f>
        <v>41.488</v>
      </c>
      <c r="G21" s="60">
        <f t="shared" si="4"/>
        <v>25.478000000000002</v>
      </c>
      <c r="H21" s="60">
        <f t="shared" si="4"/>
        <v>35.186</v>
      </c>
      <c r="I21" s="60">
        <f t="shared" si="4"/>
        <v>24.636000000000003</v>
      </c>
      <c r="J21" s="60">
        <f t="shared" si="4"/>
        <v>38.704000000000001</v>
      </c>
      <c r="K21" s="60">
        <f t="shared" si="4"/>
        <v>36.188000000000002</v>
      </c>
      <c r="L21" s="60">
        <f t="shared" si="4"/>
        <v>9.3239999999999998</v>
      </c>
      <c r="M21" s="60">
        <f t="shared" si="4"/>
        <v>25.103999999999999</v>
      </c>
      <c r="N21" s="60">
        <f t="shared" si="4"/>
        <v>30.240000000000002</v>
      </c>
      <c r="O21" s="60">
        <f t="shared" si="4"/>
        <v>29.586000000000002</v>
      </c>
      <c r="P21" s="60">
        <f t="shared" si="4"/>
        <v>29.694000000000003</v>
      </c>
      <c r="Q21" s="60">
        <f t="shared" si="4"/>
        <v>32.751999999999995</v>
      </c>
      <c r="R21" s="60">
        <f t="shared" si="4"/>
        <v>866.29499999999996</v>
      </c>
      <c r="S21" s="60">
        <f t="shared" si="4"/>
        <v>1224.675</v>
      </c>
    </row>
  </sheetData>
  <mergeCells count="4">
    <mergeCell ref="A2:A3"/>
    <mergeCell ref="B2:B3"/>
    <mergeCell ref="C2:C3"/>
    <mergeCell ref="F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District RoP 2026-27</vt:lpstr>
      <vt:lpstr>Trng-Capacity Bldg.</vt:lpstr>
      <vt:lpstr>ASHA Incentives</vt:lpstr>
      <vt:lpstr>IT Interventions</vt:lpstr>
      <vt:lpstr>IEC&amp; Printing</vt:lpstr>
      <vt:lpstr>Innovation</vt:lpstr>
      <vt:lpstr>PMC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2026-08-06T15:42:33Z</dcterms:modified>
</cp:coreProperties>
</file>